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/>
  <mc:AlternateContent xmlns:mc="http://schemas.openxmlformats.org/markup-compatibility/2006">
    <mc:Choice Requires="x15">
      <x15ac:absPath xmlns:x15ac="http://schemas.microsoft.com/office/spreadsheetml/2010/11/ac" url="/Users/maurice/Desktop/Book Products/Calculator Uploads/"/>
    </mc:Choice>
  </mc:AlternateContent>
  <xr:revisionPtr revIDLastSave="0" documentId="13_ncr:1_{012D0066-D966-3D44-9A65-DF2225924A87}" xr6:coauthVersionLast="47" xr6:coauthVersionMax="47" xr10:uidLastSave="{00000000-0000-0000-0000-000000000000}"/>
  <bookViews>
    <workbookView xWindow="0" yWindow="760" windowWidth="29400" windowHeight="18360" firstSheet="2" activeTab="7" xr2:uid="{00000000-000D-0000-FFFF-FFFF00000000}"/>
  </bookViews>
  <sheets>
    <sheet name="Step 1 Rent Roll" sheetId="1" r:id="rId1"/>
    <sheet name="Step 2 Operating Budget" sheetId="2" r:id="rId2"/>
    <sheet name="Step 3 Property Value" sheetId="3" r:id="rId3"/>
    <sheet name="Step 4 Budget" sheetId="4" r:id="rId4"/>
    <sheet name="Step 5 Debt Financing" sheetId="5" r:id="rId5"/>
    <sheet name="Step 6 Project Schedule and Net" sheetId="6" r:id="rId6"/>
    <sheet name="Step 7 Sources and Uses" sheetId="7" r:id="rId7"/>
    <sheet name="Step 8 Projected Cash Flows and" sheetId="8" r:id="rId8"/>
    <sheet name="Step 9 Equity Waterfall" sheetId="9" r:id="rId9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9" i="9" l="1"/>
  <c r="A14" i="9"/>
  <c r="D12" i="9"/>
  <c r="F4" i="9"/>
  <c r="A20" i="9" s="1"/>
  <c r="E4" i="9"/>
  <c r="A21" i="9" s="1"/>
  <c r="B32" i="7"/>
  <c r="B31" i="7"/>
  <c r="B18" i="7"/>
  <c r="X22" i="6"/>
  <c r="W22" i="6"/>
  <c r="V22" i="6"/>
  <c r="U22" i="6"/>
  <c r="O22" i="6"/>
  <c r="N22" i="6"/>
  <c r="M22" i="6"/>
  <c r="K22" i="6"/>
  <c r="F22" i="6"/>
  <c r="E22" i="6"/>
  <c r="B22" i="6"/>
  <c r="U21" i="6"/>
  <c r="S21" i="6"/>
  <c r="R21" i="6"/>
  <c r="Q21" i="6"/>
  <c r="K21" i="6"/>
  <c r="J21" i="6"/>
  <c r="I21" i="6"/>
  <c r="H21" i="6"/>
  <c r="B21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C5" i="6"/>
  <c r="B6" i="5"/>
  <c r="G12" i="4"/>
  <c r="C10" i="4" s="1"/>
  <c r="C6" i="4"/>
  <c r="C7" i="4" s="1"/>
  <c r="C6" i="7" s="1"/>
  <c r="E29" i="1"/>
  <c r="B6" i="2" s="1"/>
  <c r="D29" i="1"/>
  <c r="B5" i="2" s="1"/>
  <c r="C29" i="1"/>
  <c r="B29" i="1"/>
  <c r="D5" i="4" s="1"/>
  <c r="C22" i="6" l="1"/>
  <c r="C6" i="2"/>
  <c r="B14" i="2"/>
  <c r="B20" i="2"/>
  <c r="D6" i="4"/>
  <c r="D10" i="4"/>
  <c r="B11" i="8"/>
  <c r="B14" i="8"/>
  <c r="B9" i="8"/>
  <c r="B12" i="8"/>
  <c r="B10" i="8"/>
  <c r="B16" i="8"/>
  <c r="B15" i="8"/>
  <c r="B13" i="8"/>
  <c r="E7" i="4"/>
  <c r="E5" i="4"/>
  <c r="C11" i="4"/>
  <c r="C5" i="2"/>
  <c r="B7" i="2"/>
  <c r="E6" i="4"/>
  <c r="B17" i="2"/>
  <c r="B11" i="2"/>
  <c r="B15" i="2"/>
  <c r="D7" i="4"/>
  <c r="T22" i="6"/>
  <c r="L22" i="6"/>
  <c r="D22" i="6"/>
  <c r="T21" i="6"/>
  <c r="L21" i="6"/>
  <c r="D21" i="6"/>
  <c r="C21" i="6"/>
  <c r="M21" i="6"/>
  <c r="V21" i="6"/>
  <c r="G22" i="6"/>
  <c r="P22" i="6"/>
  <c r="Y22" i="6"/>
  <c r="C6" i="6"/>
  <c r="E21" i="6"/>
  <c r="N21" i="6"/>
  <c r="W21" i="6"/>
  <c r="H22" i="6"/>
  <c r="Q22" i="6"/>
  <c r="B18" i="2"/>
  <c r="B16" i="2"/>
  <c r="F21" i="6"/>
  <c r="O21" i="6"/>
  <c r="X21" i="6"/>
  <c r="I22" i="6"/>
  <c r="R22" i="6"/>
  <c r="G21" i="6"/>
  <c r="P21" i="6"/>
  <c r="Y21" i="6"/>
  <c r="J22" i="6"/>
  <c r="S22" i="6"/>
  <c r="E5" i="9"/>
  <c r="C7" i="2" l="1"/>
  <c r="B8" i="2"/>
  <c r="D18" i="2" s="1"/>
  <c r="A28" i="9"/>
  <c r="F5" i="9"/>
  <c r="A27" i="9" s="1"/>
  <c r="D11" i="4"/>
  <c r="C12" i="4"/>
  <c r="V32" i="6"/>
  <c r="N32" i="6"/>
  <c r="F32" i="6"/>
  <c r="V29" i="6"/>
  <c r="N29" i="6"/>
  <c r="T32" i="6"/>
  <c r="L32" i="6"/>
  <c r="D32" i="6"/>
  <c r="T29" i="6"/>
  <c r="L29" i="6"/>
  <c r="D29" i="6"/>
  <c r="T24" i="6"/>
  <c r="D24" i="6"/>
  <c r="S32" i="6"/>
  <c r="K32" i="6"/>
  <c r="C32" i="6"/>
  <c r="S29" i="6"/>
  <c r="K29" i="6"/>
  <c r="C29" i="6"/>
  <c r="U32" i="6"/>
  <c r="H32" i="6"/>
  <c r="Q29" i="6"/>
  <c r="F29" i="6"/>
  <c r="H24" i="6"/>
  <c r="R32" i="6"/>
  <c r="G32" i="6"/>
  <c r="P29" i="6"/>
  <c r="E29" i="6"/>
  <c r="Y24" i="6"/>
  <c r="G24" i="6"/>
  <c r="C7" i="6"/>
  <c r="X29" i="6"/>
  <c r="J29" i="6"/>
  <c r="C24" i="6"/>
  <c r="Q32" i="6"/>
  <c r="E32" i="6"/>
  <c r="O29" i="6"/>
  <c r="B29" i="6"/>
  <c r="X24" i="6"/>
  <c r="F24" i="6"/>
  <c r="P32" i="6"/>
  <c r="B32" i="6"/>
  <c r="Y29" i="6"/>
  <c r="M29" i="6"/>
  <c r="W24" i="6"/>
  <c r="E24" i="6"/>
  <c r="O32" i="6"/>
  <c r="V24" i="6"/>
  <c r="W32" i="6"/>
  <c r="I32" i="6"/>
  <c r="R29" i="6"/>
  <c r="G29" i="6"/>
  <c r="I24" i="6"/>
  <c r="X32" i="6"/>
  <c r="U29" i="6"/>
  <c r="M32" i="6"/>
  <c r="H29" i="6"/>
  <c r="U24" i="6"/>
  <c r="Y32" i="6"/>
  <c r="W29" i="6"/>
  <c r="B24" i="6"/>
  <c r="D17" i="2"/>
  <c r="D16" i="2"/>
  <c r="C4" i="8" l="1"/>
  <c r="C12" i="2"/>
  <c r="B12" i="2" s="1"/>
  <c r="C13" i="2"/>
  <c r="B13" i="2" s="1"/>
  <c r="C8" i="2"/>
  <c r="D20" i="2"/>
  <c r="D14" i="2"/>
  <c r="D11" i="2"/>
  <c r="D15" i="2"/>
  <c r="C28" i="4"/>
  <c r="C25" i="4"/>
  <c r="C14" i="4"/>
  <c r="C22" i="4"/>
  <c r="C24" i="4"/>
  <c r="D12" i="4"/>
  <c r="C27" i="4"/>
  <c r="E12" i="4"/>
  <c r="C23" i="4"/>
  <c r="C29" i="4"/>
  <c r="C21" i="4"/>
  <c r="C15" i="4"/>
  <c r="C26" i="4"/>
  <c r="T25" i="6"/>
  <c r="L25" i="6"/>
  <c r="D25" i="6"/>
  <c r="T23" i="6"/>
  <c r="U25" i="6"/>
  <c r="K25" i="6"/>
  <c r="B25" i="6"/>
  <c r="W23" i="6"/>
  <c r="C8" i="6"/>
  <c r="J25" i="6"/>
  <c r="V23" i="6"/>
  <c r="Y25" i="6"/>
  <c r="P25" i="6"/>
  <c r="R25" i="6"/>
  <c r="I25" i="6"/>
  <c r="U23" i="6"/>
  <c r="G25" i="6"/>
  <c r="Q25" i="6"/>
  <c r="H25" i="6"/>
  <c r="V25" i="6"/>
  <c r="M25" i="6"/>
  <c r="C25" i="6"/>
  <c r="X23" i="6"/>
  <c r="X25" i="6"/>
  <c r="N25" i="6"/>
  <c r="Y23" i="6"/>
  <c r="F25" i="6"/>
  <c r="E25" i="6"/>
  <c r="W25" i="6"/>
  <c r="O25" i="6"/>
  <c r="C9" i="6" l="1"/>
  <c r="B16" i="6" a="1"/>
  <c r="B16" i="6" s="1"/>
  <c r="C16" i="6" s="1" a="1"/>
  <c r="C16" i="6" s="1"/>
  <c r="D16" i="6" s="1" a="1"/>
  <c r="D16" i="6" s="1"/>
  <c r="E16" i="6" s="1" a="1"/>
  <c r="E16" i="6" s="1"/>
  <c r="F16" i="6" s="1" a="1"/>
  <c r="F16" i="6" s="1"/>
  <c r="G16" i="6" s="1" a="1"/>
  <c r="G16" i="6" s="1"/>
  <c r="H16" i="6" s="1" a="1"/>
  <c r="H16" i="6" s="1"/>
  <c r="I16" i="6" s="1" a="1"/>
  <c r="I16" i="6" s="1"/>
  <c r="J16" i="6" s="1" a="1"/>
  <c r="J16" i="6" s="1"/>
  <c r="K16" i="6" s="1" a="1"/>
  <c r="K16" i="6" s="1"/>
  <c r="L16" i="6" s="1" a="1"/>
  <c r="L16" i="6" s="1"/>
  <c r="M16" i="6" s="1" a="1"/>
  <c r="M16" i="6" s="1"/>
  <c r="N16" i="6" s="1" a="1"/>
  <c r="N16" i="6" s="1"/>
  <c r="O16" i="6" s="1" a="1"/>
  <c r="O16" i="6" s="1"/>
  <c r="P16" i="6" s="1" a="1"/>
  <c r="P16" i="6" s="1"/>
  <c r="Q16" i="6" s="1" a="1"/>
  <c r="Q16" i="6" s="1"/>
  <c r="R16" i="6" s="1" a="1"/>
  <c r="R16" i="6" s="1"/>
  <c r="S16" i="6" s="1" a="1"/>
  <c r="S16" i="6" s="1"/>
  <c r="T16" i="6" s="1" a="1"/>
  <c r="T16" i="6" s="1"/>
  <c r="U16" i="6" s="1" a="1"/>
  <c r="U16" i="6" s="1"/>
  <c r="V16" i="6" s="1" a="1"/>
  <c r="V16" i="6" s="1"/>
  <c r="W16" i="6" s="1" a="1"/>
  <c r="W16" i="6" s="1"/>
  <c r="X16" i="6" s="1" a="1"/>
  <c r="X16" i="6" s="1"/>
  <c r="Y16" i="6" s="1" a="1"/>
  <c r="Y16" i="6" s="1"/>
  <c r="E27" i="4"/>
  <c r="D27" i="4"/>
  <c r="E26" i="4"/>
  <c r="D26" i="4"/>
  <c r="C14" i="8"/>
  <c r="N37" i="6"/>
  <c r="F37" i="6"/>
  <c r="N36" i="6"/>
  <c r="F36" i="6"/>
  <c r="C9" i="8"/>
  <c r="E7" i="8"/>
  <c r="U37" i="6"/>
  <c r="M37" i="6"/>
  <c r="E37" i="6"/>
  <c r="U36" i="6"/>
  <c r="M36" i="6"/>
  <c r="E36" i="6"/>
  <c r="C12" i="8"/>
  <c r="D7" i="8"/>
  <c r="T37" i="6"/>
  <c r="L37" i="6"/>
  <c r="D37" i="6"/>
  <c r="T36" i="6"/>
  <c r="L36" i="6"/>
  <c r="D36" i="6"/>
  <c r="T26" i="6"/>
  <c r="T27" i="6" s="1"/>
  <c r="L26" i="6"/>
  <c r="D26" i="6"/>
  <c r="C15" i="8"/>
  <c r="C7" i="8"/>
  <c r="S37" i="6"/>
  <c r="K37" i="6"/>
  <c r="C37" i="6"/>
  <c r="S36" i="6"/>
  <c r="K36" i="6"/>
  <c r="C36" i="6"/>
  <c r="C13" i="8"/>
  <c r="C11" i="8"/>
  <c r="O37" i="6"/>
  <c r="W36" i="6"/>
  <c r="G36" i="6"/>
  <c r="W33" i="6"/>
  <c r="X26" i="6"/>
  <c r="X27" i="6" s="1"/>
  <c r="O26" i="6"/>
  <c r="F26" i="6"/>
  <c r="C8" i="8"/>
  <c r="C10" i="8"/>
  <c r="J37" i="6"/>
  <c r="R36" i="6"/>
  <c r="B36" i="6"/>
  <c r="W26" i="6"/>
  <c r="W27" i="6" s="1"/>
  <c r="N26" i="6"/>
  <c r="E26" i="6"/>
  <c r="O36" i="6"/>
  <c r="B33" i="6"/>
  <c r="S26" i="6"/>
  <c r="C16" i="8"/>
  <c r="Y37" i="6"/>
  <c r="I37" i="6"/>
  <c r="Q36" i="6"/>
  <c r="M26" i="6"/>
  <c r="C26" i="6"/>
  <c r="X37" i="6"/>
  <c r="H37" i="6"/>
  <c r="P36" i="6"/>
  <c r="U26" i="6"/>
  <c r="K26" i="6"/>
  <c r="B26" i="6"/>
  <c r="W37" i="6"/>
  <c r="G37" i="6"/>
  <c r="J26" i="6"/>
  <c r="X39" i="6"/>
  <c r="P37" i="6"/>
  <c r="X36" i="6"/>
  <c r="H36" i="6"/>
  <c r="X33" i="6"/>
  <c r="Y26" i="6"/>
  <c r="Y27" i="6" s="1"/>
  <c r="P26" i="6"/>
  <c r="G26" i="6"/>
  <c r="B37" i="6"/>
  <c r="Y39" i="6"/>
  <c r="I36" i="6"/>
  <c r="R26" i="6"/>
  <c r="Q26" i="6"/>
  <c r="Y33" i="6"/>
  <c r="H26" i="6"/>
  <c r="Y36" i="6"/>
  <c r="J36" i="6"/>
  <c r="R37" i="6"/>
  <c r="I26" i="6"/>
  <c r="Q37" i="6"/>
  <c r="U27" i="6"/>
  <c r="E15" i="4"/>
  <c r="D15" i="4"/>
  <c r="C30" i="4"/>
  <c r="D21" i="4"/>
  <c r="E21" i="4"/>
  <c r="D29" i="4"/>
  <c r="E29" i="4"/>
  <c r="D25" i="4"/>
  <c r="E25" i="4"/>
  <c r="E24" i="4"/>
  <c r="D24" i="4"/>
  <c r="E22" i="4"/>
  <c r="D22" i="4"/>
  <c r="D23" i="4"/>
  <c r="E23" i="4"/>
  <c r="D28" i="4"/>
  <c r="E28" i="4"/>
  <c r="D14" i="4"/>
  <c r="C16" i="4"/>
  <c r="E14" i="4"/>
  <c r="E30" i="4" l="1"/>
  <c r="D30" i="4"/>
  <c r="C33" i="4"/>
  <c r="C32" i="4"/>
  <c r="C7" i="7"/>
  <c r="C18" i="4"/>
  <c r="E16" i="4"/>
  <c r="D16" i="4"/>
  <c r="R24" i="6"/>
  <c r="Q24" i="6"/>
  <c r="N24" i="6"/>
  <c r="J24" i="6"/>
  <c r="L24" i="6"/>
  <c r="M24" i="6"/>
  <c r="O24" i="6"/>
  <c r="S24" i="6"/>
  <c r="K24" i="6"/>
  <c r="P24" i="6"/>
  <c r="D18" i="4" l="1"/>
  <c r="E18" i="4"/>
  <c r="E33" i="4"/>
  <c r="D33" i="4"/>
  <c r="C34" i="4"/>
  <c r="D32" i="4"/>
  <c r="E32" i="4"/>
  <c r="C8" i="7" l="1"/>
  <c r="D34" i="4"/>
  <c r="E34" i="4"/>
  <c r="C36" i="4"/>
  <c r="B23" i="6"/>
  <c r="B27" i="6" s="1"/>
  <c r="S23" i="6"/>
  <c r="P23" i="6"/>
  <c r="P27" i="6" s="1"/>
  <c r="R23" i="6"/>
  <c r="R27" i="6" s="1"/>
  <c r="J23" i="6"/>
  <c r="J27" i="6" s="1"/>
  <c r="D23" i="6"/>
  <c r="D27" i="6" s="1"/>
  <c r="O23" i="6"/>
  <c r="O27" i="6" s="1"/>
  <c r="C23" i="6"/>
  <c r="C27" i="6" s="1"/>
  <c r="F23" i="6"/>
  <c r="F27" i="6" s="1"/>
  <c r="Q23" i="6"/>
  <c r="Q27" i="6" s="1"/>
  <c r="L23" i="6"/>
  <c r="L27" i="6" s="1"/>
  <c r="G23" i="6"/>
  <c r="G27" i="6" s="1"/>
  <c r="N23" i="6"/>
  <c r="N27" i="6" s="1"/>
  <c r="M23" i="6"/>
  <c r="M27" i="6" s="1"/>
  <c r="E23" i="6"/>
  <c r="E27" i="6" s="1"/>
  <c r="H23" i="6"/>
  <c r="H27" i="6" s="1"/>
  <c r="K23" i="6"/>
  <c r="K27" i="6" s="1"/>
  <c r="I23" i="6"/>
  <c r="I27" i="6" s="1"/>
  <c r="E36" i="4" l="1"/>
  <c r="D36" i="4"/>
  <c r="F17" i="2"/>
  <c r="F19" i="2" s="1"/>
  <c r="B19" i="2" s="1"/>
  <c r="B21" i="2" s="1"/>
  <c r="E9" i="5"/>
  <c r="I29" i="6"/>
  <c r="B24" i="2" l="1"/>
  <c r="C11" i="7"/>
  <c r="S25" i="6" s="1"/>
  <c r="S27" i="6" s="1"/>
  <c r="C21" i="2"/>
  <c r="C24" i="2" s="1"/>
  <c r="D4" i="8"/>
  <c r="C26" i="7"/>
  <c r="V26" i="6" s="1"/>
  <c r="V27" i="6" s="1"/>
  <c r="D21" i="2"/>
  <c r="D19" i="2"/>
  <c r="C19" i="2"/>
  <c r="D9" i="8" l="1"/>
  <c r="D11" i="8"/>
  <c r="D12" i="8"/>
  <c r="D16" i="8"/>
  <c r="D13" i="8"/>
  <c r="D10" i="8"/>
  <c r="D14" i="8"/>
  <c r="D8" i="8"/>
  <c r="D15" i="8"/>
  <c r="D15" i="6"/>
  <c r="D17" i="6" s="1"/>
  <c r="L15" i="6"/>
  <c r="L17" i="6" s="1"/>
  <c r="C15" i="6"/>
  <c r="C17" i="6" s="1"/>
  <c r="H15" i="6"/>
  <c r="H17" i="6" s="1"/>
  <c r="X15" i="6"/>
  <c r="X17" i="6" s="1"/>
  <c r="V15" i="6"/>
  <c r="V17" i="6" s="1"/>
  <c r="Y15" i="6"/>
  <c r="Y17" i="6" s="1"/>
  <c r="R15" i="6"/>
  <c r="R17" i="6" s="1"/>
  <c r="I15" i="6"/>
  <c r="I17" i="6" s="1"/>
  <c r="P15" i="6"/>
  <c r="P17" i="6" s="1"/>
  <c r="N15" i="6"/>
  <c r="N17" i="6" s="1"/>
  <c r="Q15" i="6"/>
  <c r="Q17" i="6" s="1"/>
  <c r="B15" i="6"/>
  <c r="B17" i="6" s="1"/>
  <c r="F15" i="6"/>
  <c r="F17" i="6" s="1"/>
  <c r="B3" i="5"/>
  <c r="B4" i="3"/>
  <c r="O15" i="6"/>
  <c r="O17" i="6" s="1"/>
  <c r="U15" i="6"/>
  <c r="U17" i="6" s="1"/>
  <c r="K15" i="6"/>
  <c r="K17" i="6" s="1"/>
  <c r="G15" i="6"/>
  <c r="G17" i="6" s="1"/>
  <c r="W15" i="6"/>
  <c r="W17" i="6" s="1"/>
  <c r="M15" i="6"/>
  <c r="M17" i="6" s="1"/>
  <c r="J15" i="6"/>
  <c r="J17" i="6" s="1"/>
  <c r="T15" i="6"/>
  <c r="T17" i="6" s="1"/>
  <c r="E15" i="6"/>
  <c r="E17" i="6" s="1"/>
  <c r="S15" i="6"/>
  <c r="S17" i="6" s="1"/>
  <c r="C15" i="7" s="1"/>
  <c r="B14" i="5" l="1"/>
  <c r="B16" i="5" s="1"/>
  <c r="B7" i="5"/>
  <c r="B9" i="5" s="1"/>
  <c r="C20" i="8"/>
  <c r="C22" i="8" s="1"/>
  <c r="B6" i="3"/>
  <c r="C4" i="3"/>
  <c r="B18" i="5" l="1"/>
  <c r="F20" i="8" s="1"/>
  <c r="F21" i="8"/>
  <c r="F19" i="8"/>
  <c r="D4" i="3"/>
  <c r="D6" i="3" s="1"/>
  <c r="C6" i="3"/>
  <c r="B19" i="5" l="1"/>
  <c r="E4" i="8" s="1"/>
  <c r="E8" i="8" s="1"/>
  <c r="E20" i="5"/>
  <c r="C25" i="7" s="1"/>
  <c r="E6" i="5"/>
  <c r="C30" i="7"/>
  <c r="V36" i="6"/>
  <c r="V37" i="6"/>
  <c r="F22" i="8"/>
  <c r="F16" i="8" s="1"/>
  <c r="E11" i="8" l="1"/>
  <c r="G11" i="8" s="1"/>
  <c r="H9" i="9" s="1"/>
  <c r="E16" i="8"/>
  <c r="G16" i="8" s="1"/>
  <c r="M9" i="9" s="1"/>
  <c r="E12" i="8"/>
  <c r="G12" i="8" s="1"/>
  <c r="I9" i="9" s="1"/>
  <c r="E9" i="8"/>
  <c r="G9" i="8" s="1"/>
  <c r="F9" i="9" s="1"/>
  <c r="E13" i="8"/>
  <c r="G13" i="8" s="1"/>
  <c r="J9" i="9" s="1"/>
  <c r="E10" i="8"/>
  <c r="G10" i="8" s="1"/>
  <c r="G9" i="9" s="1"/>
  <c r="E15" i="8"/>
  <c r="G15" i="8" s="1"/>
  <c r="L9" i="9" s="1"/>
  <c r="E14" i="8"/>
  <c r="G14" i="8" s="1"/>
  <c r="K9" i="9" s="1"/>
  <c r="V33" i="6"/>
  <c r="W39" i="6"/>
  <c r="C38" i="4"/>
  <c r="D38" i="4"/>
  <c r="E38" i="4"/>
  <c r="C39" i="4"/>
  <c r="D39" i="4"/>
  <c r="E39" i="4"/>
  <c r="C40" i="4"/>
  <c r="D40" i="4"/>
  <c r="E40" i="4"/>
  <c r="E10" i="5"/>
  <c r="E12" i="5"/>
  <c r="E14" i="5"/>
  <c r="E18" i="5"/>
  <c r="B31" i="6" a="1"/>
  <c r="B31" i="6"/>
  <c r="C31" i="6" a="1"/>
  <c r="C31" i="6"/>
  <c r="D31" i="6" a="1"/>
  <c r="D31" i="6"/>
  <c r="E31" i="6" a="1"/>
  <c r="E31" i="6"/>
  <c r="F31" i="6" a="1"/>
  <c r="F31" i="6"/>
  <c r="G31" i="6" a="1"/>
  <c r="G31" i="6"/>
  <c r="H31" i="6" a="1"/>
  <c r="H31" i="6"/>
  <c r="I31" i="6" a="1"/>
  <c r="I31" i="6"/>
  <c r="J31" i="6" a="1"/>
  <c r="J31" i="6"/>
  <c r="K31" i="6" a="1"/>
  <c r="K31" i="6"/>
  <c r="L31" i="6" a="1"/>
  <c r="L31" i="6"/>
  <c r="M31" i="6" a="1"/>
  <c r="M31" i="6"/>
  <c r="N31" i="6" a="1"/>
  <c r="N31" i="6"/>
  <c r="O31" i="6" a="1"/>
  <c r="O31" i="6"/>
  <c r="P31" i="6" a="1"/>
  <c r="P31" i="6"/>
  <c r="Q31" i="6" a="1"/>
  <c r="Q31" i="6"/>
  <c r="R31" i="6" a="1"/>
  <c r="R31" i="6"/>
  <c r="S31" i="6" a="1"/>
  <c r="S31" i="6"/>
  <c r="T31" i="6" a="1"/>
  <c r="T31" i="6"/>
  <c r="U31" i="6" a="1"/>
  <c r="U31" i="6"/>
  <c r="V31" i="6" a="1"/>
  <c r="V31" i="6"/>
  <c r="W31" i="6" a="1"/>
  <c r="W31" i="6"/>
  <c r="X31" i="6" a="1"/>
  <c r="X31" i="6"/>
  <c r="Y31" i="6" a="1"/>
  <c r="Y31" i="6"/>
  <c r="J32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B34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Y34" i="6"/>
  <c r="B39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C9" i="7"/>
  <c r="C10" i="7"/>
  <c r="C12" i="7"/>
  <c r="C16" i="7"/>
  <c r="C17" i="7"/>
  <c r="C18" i="7"/>
  <c r="C19" i="7"/>
  <c r="C24" i="7"/>
  <c r="C27" i="7"/>
  <c r="C31" i="7"/>
  <c r="C32" i="7"/>
  <c r="C33" i="7"/>
  <c r="B35" i="7"/>
  <c r="B36" i="7"/>
  <c r="B37" i="7"/>
  <c r="B39" i="7"/>
  <c r="B40" i="7"/>
  <c r="B41" i="7"/>
  <c r="B7" i="8"/>
  <c r="G7" i="8"/>
  <c r="B8" i="8"/>
  <c r="G8" i="8"/>
  <c r="C26" i="8"/>
  <c r="C27" i="8"/>
  <c r="C28" i="8"/>
  <c r="C29" i="8"/>
  <c r="B9" i="9"/>
  <c r="C9" i="9"/>
  <c r="D9" i="9"/>
  <c r="E9" i="9"/>
  <c r="E12" i="9"/>
  <c r="F12" i="9"/>
  <c r="G12" i="9"/>
  <c r="H12" i="9"/>
  <c r="I12" i="9"/>
  <c r="J12" i="9"/>
  <c r="K12" i="9"/>
  <c r="L12" i="9"/>
  <c r="M12" i="9"/>
  <c r="E13" i="9"/>
  <c r="F13" i="9"/>
  <c r="G13" i="9"/>
  <c r="H13" i="9"/>
  <c r="I13" i="9"/>
  <c r="J13" i="9"/>
  <c r="K13" i="9"/>
  <c r="L13" i="9"/>
  <c r="M13" i="9"/>
  <c r="D14" i="9"/>
  <c r="E14" i="9"/>
  <c r="F14" i="9"/>
  <c r="G14" i="9"/>
  <c r="H14" i="9"/>
  <c r="I14" i="9"/>
  <c r="J14" i="9"/>
  <c r="K14" i="9"/>
  <c r="L14" i="9"/>
  <c r="M14" i="9"/>
  <c r="D15" i="9"/>
  <c r="E15" i="9"/>
  <c r="F15" i="9"/>
  <c r="G15" i="9"/>
  <c r="H15" i="9"/>
  <c r="I15" i="9"/>
  <c r="J15" i="9"/>
  <c r="K15" i="9"/>
  <c r="L15" i="9"/>
  <c r="M15" i="9"/>
  <c r="B17" i="9"/>
  <c r="D20" i="9"/>
  <c r="E20" i="9"/>
  <c r="F20" i="9"/>
  <c r="G20" i="9"/>
  <c r="H20" i="9"/>
  <c r="I20" i="9"/>
  <c r="J20" i="9"/>
  <c r="K20" i="9"/>
  <c r="L20" i="9"/>
  <c r="M20" i="9"/>
  <c r="D21" i="9"/>
  <c r="E21" i="9"/>
  <c r="F21" i="9"/>
  <c r="G21" i="9"/>
  <c r="H21" i="9"/>
  <c r="I21" i="9"/>
  <c r="J21" i="9"/>
  <c r="K21" i="9"/>
  <c r="L21" i="9"/>
  <c r="M21" i="9"/>
  <c r="D22" i="9"/>
  <c r="E22" i="9"/>
  <c r="F22" i="9"/>
  <c r="G22" i="9"/>
  <c r="H22" i="9"/>
  <c r="I22" i="9"/>
  <c r="J22" i="9"/>
  <c r="K22" i="9"/>
  <c r="L22" i="9"/>
  <c r="M22" i="9"/>
  <c r="D24" i="9"/>
  <c r="E24" i="9"/>
  <c r="F24" i="9"/>
  <c r="G24" i="9"/>
  <c r="H24" i="9"/>
  <c r="I24" i="9"/>
  <c r="J24" i="9"/>
  <c r="K24" i="9"/>
  <c r="L24" i="9"/>
  <c r="M24" i="9"/>
  <c r="D27" i="9"/>
  <c r="E27" i="9"/>
  <c r="F27" i="9"/>
  <c r="G27" i="9"/>
  <c r="H27" i="9"/>
  <c r="I27" i="9"/>
  <c r="J27" i="9"/>
  <c r="K27" i="9"/>
  <c r="L27" i="9"/>
  <c r="M27" i="9"/>
  <c r="D28" i="9"/>
  <c r="E28" i="9"/>
  <c r="F28" i="9"/>
  <c r="G28" i="9"/>
  <c r="H28" i="9"/>
  <c r="I28" i="9"/>
  <c r="J28" i="9"/>
  <c r="K28" i="9"/>
  <c r="L28" i="9"/>
  <c r="M28" i="9"/>
  <c r="D29" i="9"/>
  <c r="E29" i="9"/>
  <c r="F29" i="9"/>
  <c r="G29" i="9"/>
  <c r="H29" i="9"/>
  <c r="I29" i="9"/>
  <c r="J29" i="9"/>
  <c r="K29" i="9"/>
  <c r="L29" i="9"/>
  <c r="M29" i="9"/>
  <c r="D30" i="9"/>
  <c r="E30" i="9"/>
  <c r="F30" i="9"/>
  <c r="G30" i="9"/>
  <c r="H30" i="9"/>
  <c r="I30" i="9"/>
  <c r="J30" i="9"/>
  <c r="K30" i="9"/>
  <c r="L30" i="9"/>
  <c r="M30" i="9"/>
  <c r="B32" i="9"/>
  <c r="C32" i="9"/>
  <c r="D32" i="9"/>
  <c r="E32" i="9"/>
  <c r="F32" i="9"/>
  <c r="G32" i="9"/>
  <c r="H32" i="9"/>
  <c r="I32" i="9"/>
  <c r="J32" i="9"/>
  <c r="K32" i="9"/>
  <c r="L32" i="9"/>
  <c r="M32" i="9"/>
  <c r="E33" i="9"/>
  <c r="F33" i="9"/>
  <c r="G33" i="9"/>
  <c r="H33" i="9"/>
  <c r="I33" i="9"/>
  <c r="J33" i="9"/>
  <c r="K33" i="9"/>
  <c r="L33" i="9"/>
  <c r="M33" i="9"/>
  <c r="B34" i="9"/>
  <c r="C34" i="9"/>
  <c r="D34" i="9"/>
  <c r="E34" i="9"/>
  <c r="F34" i="9"/>
  <c r="G34" i="9"/>
  <c r="H34" i="9"/>
  <c r="I34" i="9"/>
  <c r="J34" i="9"/>
  <c r="K34" i="9"/>
  <c r="L34" i="9"/>
  <c r="M34" i="9"/>
  <c r="E35" i="9"/>
  <c r="F35" i="9"/>
  <c r="G35" i="9"/>
  <c r="H35" i="9"/>
  <c r="I35" i="9"/>
  <c r="J35" i="9"/>
  <c r="K35" i="9"/>
  <c r="L35" i="9"/>
  <c r="M35" i="9"/>
  <c r="B38" i="9"/>
  <c r="F38" i="9"/>
  <c r="B39" i="9"/>
  <c r="F39" i="9"/>
  <c r="B40" i="9"/>
  <c r="F40" i="9"/>
  <c r="B41" i="9"/>
  <c r="F41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<sst xmlns="http://schemas.openxmlformats.org/spreadsheetml/2006/main" count="309" uniqueCount="208">
  <si>
    <t>Development Underwriting Step 1: Confirm Rents</t>
  </si>
  <si>
    <t>Unit</t>
  </si>
  <si>
    <t>Unit Type</t>
  </si>
  <si>
    <t xml:space="preserve">Sq. Ft. </t>
  </si>
  <si>
    <t>Rent</t>
  </si>
  <si>
    <t>Parking Fees</t>
  </si>
  <si>
    <t>Lease Start</t>
  </si>
  <si>
    <t>Lease End</t>
  </si>
  <si>
    <t>N/A</t>
  </si>
  <si>
    <t>Total:</t>
  </si>
  <si>
    <t>Development Underwriting Step 2: Confirm Operating Expenses and Create an Operating Budget</t>
  </si>
  <si>
    <t>Annual</t>
  </si>
  <si>
    <t>Per Unit</t>
  </si>
  <si>
    <t>% of Total Op. Inc.</t>
  </si>
  <si>
    <t>Operating Income</t>
  </si>
  <si>
    <t>Rents</t>
  </si>
  <si>
    <t>(Vacancy Loss)</t>
  </si>
  <si>
    <t>Total Operating Income</t>
  </si>
  <si>
    <t>Operating Expenses</t>
  </si>
  <si>
    <t>Utilities</t>
  </si>
  <si>
    <t>Asset Management</t>
  </si>
  <si>
    <t>Property Management</t>
  </si>
  <si>
    <t>Administrative</t>
  </si>
  <si>
    <t>Marketing</t>
  </si>
  <si>
    <t>Repair &amp; Maintenance</t>
  </si>
  <si>
    <t>Real Estate Tax Calculations*</t>
  </si>
  <si>
    <t>License &amp; Fees</t>
  </si>
  <si>
    <t>Cost</t>
  </si>
  <si>
    <t>Insurance</t>
  </si>
  <si>
    <t>Tax Rate</t>
  </si>
  <si>
    <t>Real Estate Taxes*</t>
  </si>
  <si>
    <t>Annual Tax</t>
  </si>
  <si>
    <t>Replacement &amp; Reserve</t>
  </si>
  <si>
    <t>Total Operating Expenses</t>
  </si>
  <si>
    <t>OpEx Ratio</t>
  </si>
  <si>
    <t>Net Operating Income</t>
  </si>
  <si>
    <t>Development Underwriting Step 3: Determine the Property’s Value</t>
  </si>
  <si>
    <t>Low-Range Cap</t>
  </si>
  <si>
    <t>Mid-Range Cap</t>
  </si>
  <si>
    <t>High-Range Cap</t>
  </si>
  <si>
    <t>NOI</t>
  </si>
  <si>
    <t>Cap Rate</t>
  </si>
  <si>
    <t>Value</t>
  </si>
  <si>
    <t>Development Underwriting Step 4: Determine Acquisition &amp; Construction Budget</t>
  </si>
  <si>
    <t>Total</t>
  </si>
  <si>
    <t>Per Sq. Ft.</t>
  </si>
  <si>
    <t>Land</t>
  </si>
  <si>
    <t>Purchase Price</t>
  </si>
  <si>
    <t>Closing Costs</t>
  </si>
  <si>
    <t>Total Land</t>
  </si>
  <si>
    <t>Hard Costs</t>
  </si>
  <si>
    <t>*Site Work Calculations</t>
  </si>
  <si>
    <t>Site Work*</t>
  </si>
  <si>
    <t>Disturbed Acres</t>
  </si>
  <si>
    <t>Vertical Construction</t>
  </si>
  <si>
    <t>Cost/Disturbed Acre</t>
  </si>
  <si>
    <t>Subtotal Hard Costs</t>
  </si>
  <si>
    <t>Total Site Cost</t>
  </si>
  <si>
    <t>G/C Overhead &amp; Profit</t>
  </si>
  <si>
    <t>Hard Cost Contingency</t>
  </si>
  <si>
    <t>Total Hard Costs</t>
  </si>
  <si>
    <t>Total Land &amp; Hard Costs</t>
  </si>
  <si>
    <t>Soft Costs</t>
  </si>
  <si>
    <t>% of Hard Costs</t>
  </si>
  <si>
    <t>Architectural &amp; Engineering</t>
  </si>
  <si>
    <t>Construction Period RE Taxes</t>
  </si>
  <si>
    <t>Legal &amp; Professional</t>
  </si>
  <si>
    <t>Inspections</t>
  </si>
  <si>
    <t>Fees &amp; Permits</t>
  </si>
  <si>
    <t>Miscellaneous</t>
  </si>
  <si>
    <t>Subtotal Soft Costs</t>
  </si>
  <si>
    <t>Developer Fee (% of Soft &amp; Hard Costs)</t>
  </si>
  <si>
    <t>Soft Cost Contingency (% of Soft Costs)</t>
  </si>
  <si>
    <t>Total Soft Costs</t>
  </si>
  <si>
    <t>Total Costs Before Debt</t>
  </si>
  <si>
    <t>Construction Loan Fees (From Step 5)</t>
  </si>
  <si>
    <t>Construction Loan Interest (From Step 5)</t>
  </si>
  <si>
    <t>Total Project Costs</t>
  </si>
  <si>
    <t>Development Underwriting Step 5: Determine Permanent and Construction Loan Debt Financing</t>
  </si>
  <si>
    <t>Untrended NOI</t>
  </si>
  <si>
    <t>Construction Loan Interest Rate</t>
  </si>
  <si>
    <t>Permament Loan LTV Test</t>
  </si>
  <si>
    <t>Max Construction Loan (Perm. Loan Test)</t>
  </si>
  <si>
    <t>Max Construction Loan (Not to Exceed Perm. Loan)</t>
  </si>
  <si>
    <t>Stabilized Value</t>
  </si>
  <si>
    <t>Max LTV</t>
  </si>
  <si>
    <t>Max Construction Loan (LTC Test)</t>
  </si>
  <si>
    <t>Max Permanent Loan (LTV Test)</t>
  </si>
  <si>
    <t>Total Construction Loan Interest (From Step 6)</t>
  </si>
  <si>
    <t>Permanent Loan DSCR Test</t>
  </si>
  <si>
    <t>Construction Loan LTC</t>
  </si>
  <si>
    <t>Amortization Period for DSCR Test</t>
  </si>
  <si>
    <t>Required DSCR</t>
  </si>
  <si>
    <t>Max Annual Stabilized Debt Service (DSCR Test)</t>
  </si>
  <si>
    <t>Max Construction Loan (Lesser of Perm. Loan and LTC Tests)</t>
  </si>
  <si>
    <t>Interest Rate</t>
  </si>
  <si>
    <t>Max Permanent Loan (DSCR Test)</t>
  </si>
  <si>
    <t>Loan Fees</t>
  </si>
  <si>
    <t>Construction Loan Fee (%)</t>
  </si>
  <si>
    <t>Permanent Loan (Lesser of LTV &amp; DSCR Tests)</t>
  </si>
  <si>
    <t xml:space="preserve">Construction Loan Fee  </t>
  </si>
  <si>
    <t>Permanent Loan Annual Debt Service</t>
  </si>
  <si>
    <t>Permanent Loan Fee (%)</t>
  </si>
  <si>
    <t>Step 6: Confirm Project Schedule and Net Cash Flows</t>
  </si>
  <si>
    <t>Project Timing Assumptions</t>
  </si>
  <si>
    <t>Period Months</t>
  </si>
  <si>
    <t>Cumulative Months</t>
  </si>
  <si>
    <t>Feasibility Period to Land Closing</t>
  </si>
  <si>
    <t>Land Closing to Approved Permits</t>
  </si>
  <si>
    <t>Approved Permits to Completed Construction</t>
  </si>
  <si>
    <t>Completed Construction to Stabilization</t>
  </si>
  <si>
    <t>Perm. Loan Closing</t>
  </si>
  <si>
    <t>Project Net Cash Flows</t>
  </si>
  <si>
    <t>Project Year</t>
  </si>
  <si>
    <t>Project Month</t>
  </si>
  <si>
    <t>NOI/Unit/Month (Untrended)</t>
  </si>
  <si>
    <t>Units Leased</t>
  </si>
  <si>
    <t>NOI (Untrended)</t>
  </si>
  <si>
    <t>Capital Improvements (N/A - Begin Post Perm. Loan)</t>
  </si>
  <si>
    <t>Land Acquisition</t>
  </si>
  <si>
    <t>Initial Operating Reserve (Step 7)</t>
  </si>
  <si>
    <t>Initial Capital Reserve (Step 7)</t>
  </si>
  <si>
    <t>Prior Project Costs at Construction Loan Closing</t>
  </si>
  <si>
    <t>Construction Loan Draws / (Curtailment)</t>
  </si>
  <si>
    <t>Construction Loan Fees</t>
  </si>
  <si>
    <t>Construction Loan Interest</t>
  </si>
  <si>
    <t>Construction Loan Balance</t>
  </si>
  <si>
    <t>Permanent Loan Draw</t>
  </si>
  <si>
    <t>Permanent Loan Fees</t>
  </si>
  <si>
    <t>Development Underwriting Step 7: Confirm Sources &amp; Uses</t>
  </si>
  <si>
    <t>Acquisition &amp; Construction Sources and Uses</t>
  </si>
  <si>
    <t>Acquisition &amp; Construction Uses</t>
  </si>
  <si>
    <t>Land &amp; Closing Costs</t>
  </si>
  <si>
    <t>Soft Costs (Inclusive of Dev. Fee &amp; Contingency)</t>
  </si>
  <si>
    <t>Lease-up Operating Capital (% of Annual OpEx)</t>
  </si>
  <si>
    <t>Total Acquisition &amp; Construction Uses</t>
  </si>
  <si>
    <t>Acquisition &amp; Construction Sources</t>
  </si>
  <si>
    <t>Lease-up Period NOI</t>
  </si>
  <si>
    <t>Construction Loan</t>
  </si>
  <si>
    <t>Sponsor Equity</t>
  </si>
  <si>
    <t>Investor Equity</t>
  </si>
  <si>
    <t>Total Acquisition &amp; Construction Sources</t>
  </si>
  <si>
    <t>Permanent Loan Sources and Uses</t>
  </si>
  <si>
    <t>Permanent Loan Uses</t>
  </si>
  <si>
    <t>Curtail Construction Loan</t>
  </si>
  <si>
    <t>Initial Capital Reserve (% of Annual OpEx)</t>
  </si>
  <si>
    <t>Total Permanent Loan Uses</t>
  </si>
  <si>
    <t>Permanent Loan Sources</t>
  </si>
  <si>
    <t>Permanent Loan</t>
  </si>
  <si>
    <t>Sponsor Equity / (Distribution)</t>
  </si>
  <si>
    <t>Investor Equity / (Distribution)</t>
  </si>
  <si>
    <t>Total Permanent Loan Sources</t>
  </si>
  <si>
    <t>Sponsor Peak Equity</t>
  </si>
  <si>
    <t>Investor Peak Equity</t>
  </si>
  <si>
    <t>Total Peak Equity</t>
  </si>
  <si>
    <t>Sponsor Final Equity</t>
  </si>
  <si>
    <t>Investor Final Equity</t>
  </si>
  <si>
    <t>Total Final Equity</t>
  </si>
  <si>
    <t>Development Underwriting Step 8: Project Cash Flows and Investment Returns</t>
  </si>
  <si>
    <t>Projected Cash Flows</t>
  </si>
  <si>
    <t>Untrended</t>
  </si>
  <si>
    <t>Projected Growth Rates</t>
  </si>
  <si>
    <t>Year</t>
  </si>
  <si>
    <t>Debt Service</t>
  </si>
  <si>
    <t>Sale Proceeds</t>
  </si>
  <si>
    <t>Net Cash Flows</t>
  </si>
  <si>
    <t>Sale Proceeds Projections</t>
  </si>
  <si>
    <t>Year of Sale</t>
  </si>
  <si>
    <t>Gross Sale Proceeds</t>
  </si>
  <si>
    <t>Projected NOI</t>
  </si>
  <si>
    <t>Exit Cap Rate</t>
  </si>
  <si>
    <t>Exit Value/Price</t>
  </si>
  <si>
    <t>Net Sale Proceeds</t>
  </si>
  <si>
    <t>Closing Cost %</t>
  </si>
  <si>
    <t>Projected Total Returns</t>
  </si>
  <si>
    <t>IRR</t>
  </si>
  <si>
    <t>Profit</t>
  </si>
  <si>
    <t>Equity Multiple</t>
  </si>
  <si>
    <t>Development Underwriting Step 9: Create an Equity Waterfall</t>
  </si>
  <si>
    <t>IRR Hurdle</t>
  </si>
  <si>
    <t>Sponsor</t>
  </si>
  <si>
    <t>Investor</t>
  </si>
  <si>
    <t>Tier 1 (Preferred - Pari Passu):</t>
  </si>
  <si>
    <t>Tier 2 (Sponsor Promote):</t>
  </si>
  <si>
    <t>Sponsor Promote %:</t>
  </si>
  <si>
    <t>Tier 1 (Preferred - Pari Passu)</t>
  </si>
  <si>
    <t>BOP</t>
  </si>
  <si>
    <t>Hurdle Amount</t>
  </si>
  <si>
    <t>EOP</t>
  </si>
  <si>
    <t>Check</t>
  </si>
  <si>
    <t>Cash Flow</t>
  </si>
  <si>
    <t>Cash Flow Available</t>
  </si>
  <si>
    <t>Tier 2 (Sponsor Promote)</t>
  </si>
  <si>
    <t>Investor Post-Promote Cash Flow</t>
  </si>
  <si>
    <t>Sponsor Post-Promote Cash Flow</t>
  </si>
  <si>
    <t>Investor Post-Promote Returns</t>
  </si>
  <si>
    <t>Sponsor Post-Promote Returns</t>
  </si>
  <si>
    <t>Investor IRR</t>
  </si>
  <si>
    <t>Sponsor IRR</t>
  </si>
  <si>
    <t>Developer Peak Equity</t>
  </si>
  <si>
    <t>Investor Profit</t>
  </si>
  <si>
    <t>Sponsor Profit</t>
  </si>
  <si>
    <t>Investor Equity Multiple</t>
  </si>
  <si>
    <t>Sponsor Equity Multiple</t>
  </si>
  <si>
    <t>2BR / 1BA</t>
  </si>
  <si>
    <t>NOTE: Iterative functions must be enabled in your Excel settings for this model to work properly.</t>
  </si>
  <si>
    <t>Loan Balance at Sale*</t>
  </si>
  <si>
    <r>
      <t xml:space="preserve">*NOTE: </t>
    </r>
    <r>
      <rPr>
        <i/>
        <sz val="10"/>
        <color rgb="FF000000"/>
        <rFont val="Arial"/>
        <family val="2"/>
        <scheme val="minor"/>
      </rPr>
      <t xml:space="preserve">Figure 11 </t>
    </r>
    <r>
      <rPr>
        <sz val="10"/>
        <color rgb="FF000000"/>
        <rFont val="Arial"/>
        <family val="2"/>
        <scheme val="minor"/>
      </rPr>
      <t xml:space="preserve">in the book incorrectly calculates this total with interest paid </t>
    </r>
    <r>
      <rPr>
        <i/>
        <sz val="10"/>
        <color rgb="FF000000"/>
        <rFont val="Arial"/>
        <family val="2"/>
        <scheme val="minor"/>
      </rPr>
      <t>in advance</t>
    </r>
    <r>
      <rPr>
        <sz val="10"/>
        <color rgb="FF000000"/>
        <rFont val="Arial"/>
        <family val="2"/>
        <scheme val="minor"/>
      </rPr>
      <t xml:space="preserve"> (instead of </t>
    </r>
    <r>
      <rPr>
        <i/>
        <sz val="10"/>
        <color rgb="FF000000"/>
        <rFont val="Arial"/>
        <family val="2"/>
        <scheme val="minor"/>
      </rPr>
      <t>in arrears</t>
    </r>
    <r>
      <rPr>
        <sz val="10"/>
        <color rgb="FF000000"/>
        <rFont val="Arial"/>
        <family val="2"/>
        <scheme val="minor"/>
      </rPr>
      <t>). This model corrects that formatting error, and the corrrect Loan Balance at Sale is $3,617,046 in this scenario.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</si>
</sst>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164" formatCode="&quot;$&quot;#,##0"/>
    <numFmt numFmtId="165" formatCode="0.0%"/>
    <numFmt numFmtId="166" formatCode="&quot;Year&quot;\ 0"/>
    <numFmt numFmtId="167" formatCode="_(&quot;$&quot;* #,##0_);_(&quot;$&quot;* \(#,##0\);_(&quot;$&quot;* &quot;-&quot;??_);_(@_)"/>
    <numFmt numFmtId="168" formatCode="0.00\x"/>
  </numFmts>
  <fonts count="15" x14ac:knownFonts="1">
    <font>
      <sz val="10"/>
      <color rgb="FF000000"/>
      <name val="Arial"/>
      <scheme val="minor"/>
    </font>
    <font>
      <b/>
      <sz val="10"/>
      <color rgb="FF000000"/>
      <name val="Arial"/>
      <family val="2"/>
      <scheme val="minor"/>
    </font>
    <font>
      <i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FF"/>
      <name val="Calibri"/>
      <family val="2"/>
    </font>
    <font>
      <u/>
      <sz val="10"/>
      <color rgb="FF000000"/>
      <name val="Calibri"/>
      <family val="2"/>
    </font>
    <font>
      <sz val="11"/>
      <color theme="1"/>
      <name val="Calibri"/>
      <family val="2"/>
    </font>
    <font>
      <b/>
      <i/>
      <sz val="10"/>
      <color theme="1"/>
      <name val="Arial"/>
      <family val="2"/>
      <scheme val="minor"/>
    </font>
    <font>
      <sz val="10"/>
      <name val="Arial"/>
      <family val="2"/>
    </font>
    <font>
      <sz val="10"/>
      <color rgb="FF000000"/>
      <name val="Arial"/>
      <family val="2"/>
      <scheme val="minor"/>
    </font>
    <font>
      <i/>
      <sz val="10"/>
      <color rgb="FF000000"/>
      <name val="Arial"/>
      <family val="2"/>
      <scheme val="minor"/>
    </font>
    <font>
      <b/>
      <i/>
      <sz val="10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7B7B7"/>
        <bgColor rgb="FFB7B7B7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3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3" fontId="6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10" fontId="6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165" fontId="3" fillId="0" borderId="0" xfId="0" applyNumberFormat="1" applyFont="1" applyAlignment="1">
      <alignment horizontal="center"/>
    </xf>
    <xf numFmtId="165" fontId="3" fillId="2" borderId="0" xfId="0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right"/>
    </xf>
    <xf numFmtId="10" fontId="7" fillId="0" borderId="0" xfId="0" applyNumberFormat="1" applyFont="1" applyAlignment="1">
      <alignment horizontal="right"/>
    </xf>
    <xf numFmtId="164" fontId="9" fillId="0" borderId="0" xfId="0" applyNumberFormat="1" applyFont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0" fontId="2" fillId="0" borderId="0" xfId="0" applyFont="1"/>
    <xf numFmtId="0" fontId="10" fillId="0" borderId="0" xfId="0" applyFont="1" applyAlignment="1">
      <alignment horizontal="center"/>
    </xf>
    <xf numFmtId="10" fontId="3" fillId="2" borderId="1" xfId="0" applyNumberFormat="1" applyFont="1" applyFill="1" applyBorder="1" applyAlignment="1">
      <alignment horizontal="center"/>
    </xf>
    <xf numFmtId="10" fontId="4" fillId="2" borderId="1" xfId="0" applyNumberFormat="1" applyFont="1" applyFill="1" applyBorder="1" applyAlignment="1">
      <alignment horizontal="center"/>
    </xf>
    <xf numFmtId="9" fontId="3" fillId="2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9" fontId="3" fillId="2" borderId="0" xfId="0" applyNumberFormat="1" applyFont="1" applyFill="1" applyAlignment="1">
      <alignment horizontal="center"/>
    </xf>
    <xf numFmtId="164" fontId="4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0" fontId="3" fillId="2" borderId="0" xfId="0" applyNumberFormat="1" applyFont="1" applyFill="1" applyAlignment="1">
      <alignment horizontal="center"/>
    </xf>
    <xf numFmtId="10" fontId="3" fillId="0" borderId="0" xfId="0" applyNumberFormat="1" applyFont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3" fillId="0" borderId="0" xfId="0" applyFont="1"/>
    <xf numFmtId="0" fontId="4" fillId="0" borderId="0" xfId="0" applyFont="1"/>
    <xf numFmtId="9" fontId="3" fillId="0" borderId="0" xfId="0" applyNumberFormat="1" applyFont="1"/>
    <xf numFmtId="0" fontId="2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3" fillId="0" borderId="0" xfId="0" applyNumberFormat="1" applyFont="1"/>
    <xf numFmtId="9" fontId="3" fillId="2" borderId="1" xfId="0" applyNumberFormat="1" applyFont="1" applyFill="1" applyBorder="1"/>
    <xf numFmtId="9" fontId="3" fillId="0" borderId="1" xfId="0" applyNumberFormat="1" applyFont="1" applyBorder="1" applyAlignment="1">
      <alignment horizontal="center"/>
    </xf>
    <xf numFmtId="9" fontId="3" fillId="0" borderId="0" xfId="0" applyNumberFormat="1" applyFont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165" fontId="10" fillId="0" borderId="3" xfId="0" applyNumberFormat="1" applyFont="1" applyBorder="1" applyAlignment="1">
      <alignment horizontal="center"/>
    </xf>
    <xf numFmtId="164" fontId="10" fillId="0" borderId="3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2" fontId="10" fillId="0" borderId="8" xfId="0" applyNumberFormat="1" applyFont="1" applyBorder="1" applyAlignment="1">
      <alignment horizontal="center"/>
    </xf>
    <xf numFmtId="2" fontId="3" fillId="0" borderId="0" xfId="0" applyNumberFormat="1" applyFont="1"/>
    <xf numFmtId="0" fontId="10" fillId="0" borderId="0" xfId="0" applyFont="1"/>
    <xf numFmtId="0" fontId="4" fillId="3" borderId="0" xfId="0" applyFont="1" applyFill="1"/>
    <xf numFmtId="166" fontId="4" fillId="3" borderId="0" xfId="0" applyNumberFormat="1" applyFont="1" applyFill="1"/>
    <xf numFmtId="165" fontId="3" fillId="0" borderId="0" xfId="0" applyNumberFormat="1" applyFont="1"/>
    <xf numFmtId="44" fontId="3" fillId="0" borderId="0" xfId="0" applyNumberFormat="1" applyFont="1"/>
    <xf numFmtId="167" fontId="3" fillId="0" borderId="0" xfId="0" applyNumberFormat="1" applyFont="1"/>
    <xf numFmtId="44" fontId="3" fillId="0" borderId="1" xfId="0" applyNumberFormat="1" applyFont="1" applyBorder="1"/>
    <xf numFmtId="164" fontId="3" fillId="0" borderId="1" xfId="0" applyNumberFormat="1" applyFont="1" applyBorder="1"/>
    <xf numFmtId="44" fontId="10" fillId="0" borderId="0" xfId="0" applyNumberFormat="1" applyFont="1"/>
    <xf numFmtId="0" fontId="10" fillId="0" borderId="9" xfId="0" applyFont="1" applyBorder="1"/>
    <xf numFmtId="10" fontId="3" fillId="0" borderId="9" xfId="0" applyNumberFormat="1" applyFont="1" applyBorder="1"/>
    <xf numFmtId="164" fontId="3" fillId="0" borderId="9" xfId="0" applyNumberFormat="1" applyFont="1" applyBorder="1"/>
    <xf numFmtId="0" fontId="10" fillId="0" borderId="4" xfId="0" applyFont="1" applyBorder="1"/>
    <xf numFmtId="0" fontId="3" fillId="0" borderId="5" xfId="0" applyFont="1" applyBorder="1"/>
    <xf numFmtId="0" fontId="3" fillId="0" borderId="2" xfId="0" applyFont="1" applyBorder="1"/>
    <xf numFmtId="0" fontId="3" fillId="0" borderId="6" xfId="0" applyFont="1" applyBorder="1"/>
    <xf numFmtId="165" fontId="3" fillId="0" borderId="3" xfId="0" applyNumberFormat="1" applyFont="1" applyBorder="1"/>
    <xf numFmtId="164" fontId="3" fillId="0" borderId="3" xfId="0" applyNumberFormat="1" applyFont="1" applyBorder="1"/>
    <xf numFmtId="0" fontId="3" fillId="0" borderId="7" xfId="0" applyFont="1" applyBorder="1"/>
    <xf numFmtId="168" fontId="3" fillId="0" borderId="8" xfId="0" applyNumberFormat="1" applyFont="1" applyBorder="1"/>
    <xf numFmtId="0" fontId="1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1" fillId="0" borderId="1" xfId="0" applyFont="1" applyBorder="1"/>
    <xf numFmtId="164" fontId="4" fillId="0" borderId="0" xfId="0" applyNumberFormat="1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1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center"/>
    </xf>
    <xf numFmtId="164" fontId="3" fillId="2" borderId="10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65" fontId="12" fillId="2" borderId="0" xfId="0" applyNumberFormat="1" applyFont="1" applyFill="1" applyAlignment="1">
      <alignment horizontal="center"/>
    </xf>
    <xf numFmtId="164" fontId="12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65" fontId="3" fillId="2" borderId="10" xfId="0" applyNumberFormat="1" applyFon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9" fontId="3" fillId="2" borderId="10" xfId="0" applyNumberFormat="1" applyFont="1" applyFill="1" applyBorder="1" applyAlignment="1">
      <alignment horizontal="center"/>
    </xf>
    <xf numFmtId="164" fontId="0" fillId="0" borderId="0" xfId="0" applyNumberFormat="1"/>
    <xf numFmtId="164" fontId="11" fillId="0" borderId="1" xfId="0" applyNumberFormat="1" applyFont="1" applyBorder="1"/>
    <xf numFmtId="164" fontId="0" fillId="0" borderId="0" xfId="0" applyNumberFormat="1"/>
    <xf numFmtId="164" fontId="3" fillId="0" borderId="3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31"/>
  <sheetViews>
    <sheetView topLeftCell="A9" zoomScale="170" zoomScaleNormal="170" workbookViewId="0">
      <selection sqref="A1:G1"/>
    </sheetView>
  </sheetViews>
  <sheetFormatPr baseColWidth="10" defaultColWidth="12.6640625" defaultRowHeight="15.75" customHeight="1" x14ac:dyDescent="0.15"/>
  <cols>
    <col min="1" max="1" width="7.6640625" customWidth="1"/>
    <col min="3" max="3" width="8.6640625" customWidth="1"/>
    <col min="4" max="4" width="10.6640625" customWidth="1"/>
  </cols>
  <sheetData>
    <row r="1" spans="1:7" ht="15.75" customHeight="1" x14ac:dyDescent="0.15">
      <c r="A1" s="99" t="s">
        <v>205</v>
      </c>
      <c r="B1" s="99"/>
      <c r="C1" s="99"/>
      <c r="D1" s="99"/>
      <c r="E1" s="99"/>
      <c r="F1" s="99"/>
      <c r="G1" s="99"/>
    </row>
    <row r="3" spans="1:7" ht="15.75" customHeight="1" x14ac:dyDescent="0.15">
      <c r="A3" s="79" t="s">
        <v>0</v>
      </c>
      <c r="B3" s="80"/>
      <c r="C3" s="80"/>
      <c r="D3" s="80"/>
      <c r="E3" s="80"/>
      <c r="F3" s="80"/>
      <c r="G3" s="80"/>
    </row>
    <row r="4" spans="1:7" ht="15.75" customHeight="1" x14ac:dyDescent="0.1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</row>
    <row r="5" spans="1:7" ht="15.75" customHeight="1" x14ac:dyDescent="0.15">
      <c r="A5" s="2">
        <v>1</v>
      </c>
      <c r="B5" s="3" t="s">
        <v>204</v>
      </c>
      <c r="C5" s="3">
        <v>800</v>
      </c>
      <c r="D5" s="4">
        <v>1850</v>
      </c>
      <c r="E5" s="4">
        <v>75</v>
      </c>
      <c r="F5" s="2" t="s">
        <v>8</v>
      </c>
      <c r="G5" s="2" t="s">
        <v>8</v>
      </c>
    </row>
    <row r="6" spans="1:7" ht="15.75" customHeight="1" x14ac:dyDescent="0.15">
      <c r="A6" s="2">
        <v>2</v>
      </c>
      <c r="B6" s="3" t="s">
        <v>204</v>
      </c>
      <c r="C6" s="3">
        <v>800</v>
      </c>
      <c r="D6" s="4">
        <v>1850</v>
      </c>
      <c r="E6" s="4">
        <v>75</v>
      </c>
      <c r="F6" s="2" t="s">
        <v>8</v>
      </c>
      <c r="G6" s="2" t="s">
        <v>8</v>
      </c>
    </row>
    <row r="7" spans="1:7" ht="15.75" customHeight="1" x14ac:dyDescent="0.15">
      <c r="A7" s="2">
        <v>3</v>
      </c>
      <c r="B7" s="3" t="s">
        <v>204</v>
      </c>
      <c r="C7" s="3">
        <v>800</v>
      </c>
      <c r="D7" s="4">
        <v>1850</v>
      </c>
      <c r="E7" s="4">
        <v>75</v>
      </c>
      <c r="F7" s="2" t="s">
        <v>8</v>
      </c>
      <c r="G7" s="2" t="s">
        <v>8</v>
      </c>
    </row>
    <row r="8" spans="1:7" ht="15.75" customHeight="1" x14ac:dyDescent="0.15">
      <c r="A8" s="2">
        <v>4</v>
      </c>
      <c r="B8" s="3" t="s">
        <v>204</v>
      </c>
      <c r="C8" s="3">
        <v>800</v>
      </c>
      <c r="D8" s="4">
        <v>1850</v>
      </c>
      <c r="E8" s="4">
        <v>75</v>
      </c>
      <c r="F8" s="2" t="s">
        <v>8</v>
      </c>
      <c r="G8" s="2" t="s">
        <v>8</v>
      </c>
    </row>
    <row r="9" spans="1:7" ht="15.75" customHeight="1" x14ac:dyDescent="0.15">
      <c r="A9" s="2">
        <v>5</v>
      </c>
      <c r="B9" s="3" t="s">
        <v>204</v>
      </c>
      <c r="C9" s="3">
        <v>800</v>
      </c>
      <c r="D9" s="4">
        <v>1850</v>
      </c>
      <c r="E9" s="4">
        <v>75</v>
      </c>
      <c r="F9" s="2" t="s">
        <v>8</v>
      </c>
      <c r="G9" s="2" t="s">
        <v>8</v>
      </c>
    </row>
    <row r="10" spans="1:7" ht="15.75" customHeight="1" x14ac:dyDescent="0.15">
      <c r="A10" s="2">
        <v>6</v>
      </c>
      <c r="B10" s="3" t="s">
        <v>204</v>
      </c>
      <c r="C10" s="3">
        <v>800</v>
      </c>
      <c r="D10" s="4">
        <v>1850</v>
      </c>
      <c r="E10" s="4">
        <v>75</v>
      </c>
      <c r="F10" s="2" t="s">
        <v>8</v>
      </c>
      <c r="G10" s="2" t="s">
        <v>8</v>
      </c>
    </row>
    <row r="11" spans="1:7" ht="15.75" customHeight="1" x14ac:dyDescent="0.15">
      <c r="A11" s="2">
        <v>7</v>
      </c>
      <c r="B11" s="3" t="s">
        <v>204</v>
      </c>
      <c r="C11" s="3">
        <v>800</v>
      </c>
      <c r="D11" s="4">
        <v>1850</v>
      </c>
      <c r="E11" s="4">
        <v>75</v>
      </c>
      <c r="F11" s="2" t="s">
        <v>8</v>
      </c>
      <c r="G11" s="2" t="s">
        <v>8</v>
      </c>
    </row>
    <row r="12" spans="1:7" ht="15.75" customHeight="1" x14ac:dyDescent="0.15">
      <c r="A12" s="2">
        <v>8</v>
      </c>
      <c r="B12" s="3" t="s">
        <v>204</v>
      </c>
      <c r="C12" s="3">
        <v>800</v>
      </c>
      <c r="D12" s="4">
        <v>1850</v>
      </c>
      <c r="E12" s="4">
        <v>75</v>
      </c>
      <c r="F12" s="2" t="s">
        <v>8</v>
      </c>
      <c r="G12" s="2" t="s">
        <v>8</v>
      </c>
    </row>
    <row r="13" spans="1:7" ht="15.75" customHeight="1" x14ac:dyDescent="0.15">
      <c r="A13" s="2">
        <v>9</v>
      </c>
      <c r="B13" s="3" t="s">
        <v>204</v>
      </c>
      <c r="C13" s="3">
        <v>800</v>
      </c>
      <c r="D13" s="4">
        <v>1850</v>
      </c>
      <c r="E13" s="4">
        <v>75</v>
      </c>
      <c r="F13" s="2" t="s">
        <v>8</v>
      </c>
      <c r="G13" s="2" t="s">
        <v>8</v>
      </c>
    </row>
    <row r="14" spans="1:7" ht="15.75" customHeight="1" x14ac:dyDescent="0.15">
      <c r="A14" s="2">
        <v>10</v>
      </c>
      <c r="B14" s="3" t="s">
        <v>204</v>
      </c>
      <c r="C14" s="3">
        <v>800</v>
      </c>
      <c r="D14" s="4">
        <v>1850</v>
      </c>
      <c r="E14" s="4">
        <v>75</v>
      </c>
      <c r="F14" s="2" t="s">
        <v>8</v>
      </c>
      <c r="G14" s="2" t="s">
        <v>8</v>
      </c>
    </row>
    <row r="15" spans="1:7" ht="15.75" customHeight="1" x14ac:dyDescent="0.15">
      <c r="A15" s="2">
        <v>11</v>
      </c>
      <c r="B15" s="3" t="s">
        <v>204</v>
      </c>
      <c r="C15" s="3">
        <v>800</v>
      </c>
      <c r="D15" s="4">
        <v>1850</v>
      </c>
      <c r="E15" s="4">
        <v>75</v>
      </c>
      <c r="F15" s="2" t="s">
        <v>8</v>
      </c>
      <c r="G15" s="2" t="s">
        <v>8</v>
      </c>
    </row>
    <row r="16" spans="1:7" ht="15.75" customHeight="1" x14ac:dyDescent="0.15">
      <c r="A16" s="2">
        <v>12</v>
      </c>
      <c r="B16" s="3" t="s">
        <v>204</v>
      </c>
      <c r="C16" s="3">
        <v>800</v>
      </c>
      <c r="D16" s="4">
        <v>1850</v>
      </c>
      <c r="E16" s="4">
        <v>75</v>
      </c>
      <c r="F16" s="2" t="s">
        <v>8</v>
      </c>
      <c r="G16" s="2" t="s">
        <v>8</v>
      </c>
    </row>
    <row r="17" spans="1:7" ht="15.75" customHeight="1" x14ac:dyDescent="0.15">
      <c r="A17" s="2">
        <v>13</v>
      </c>
      <c r="B17" s="3" t="s">
        <v>204</v>
      </c>
      <c r="C17" s="3">
        <v>750</v>
      </c>
      <c r="D17" s="4">
        <v>1800</v>
      </c>
      <c r="E17" s="4">
        <v>75</v>
      </c>
      <c r="F17" s="2" t="s">
        <v>8</v>
      </c>
      <c r="G17" s="2" t="s">
        <v>8</v>
      </c>
    </row>
    <row r="18" spans="1:7" ht="15.75" customHeight="1" x14ac:dyDescent="0.15">
      <c r="A18" s="2">
        <v>14</v>
      </c>
      <c r="B18" s="3" t="s">
        <v>204</v>
      </c>
      <c r="C18" s="3">
        <v>750</v>
      </c>
      <c r="D18" s="4">
        <v>1800</v>
      </c>
      <c r="E18" s="4">
        <v>75</v>
      </c>
      <c r="F18" s="2" t="s">
        <v>8</v>
      </c>
      <c r="G18" s="2" t="s">
        <v>8</v>
      </c>
    </row>
    <row r="19" spans="1:7" ht="15.75" customHeight="1" x14ac:dyDescent="0.15">
      <c r="A19" s="2">
        <v>15</v>
      </c>
      <c r="B19" s="3" t="s">
        <v>204</v>
      </c>
      <c r="C19" s="3">
        <v>750</v>
      </c>
      <c r="D19" s="4">
        <v>1800</v>
      </c>
      <c r="E19" s="4">
        <v>75</v>
      </c>
      <c r="F19" s="2" t="s">
        <v>8</v>
      </c>
      <c r="G19" s="2" t="s">
        <v>8</v>
      </c>
    </row>
    <row r="20" spans="1:7" ht="15.75" customHeight="1" x14ac:dyDescent="0.15">
      <c r="A20" s="2">
        <v>16</v>
      </c>
      <c r="B20" s="3" t="s">
        <v>204</v>
      </c>
      <c r="C20" s="3">
        <v>750</v>
      </c>
      <c r="D20" s="4">
        <v>1800</v>
      </c>
      <c r="E20" s="4">
        <v>75</v>
      </c>
      <c r="F20" s="2" t="s">
        <v>8</v>
      </c>
      <c r="G20" s="2" t="s">
        <v>8</v>
      </c>
    </row>
    <row r="21" spans="1:7" ht="15.75" customHeight="1" x14ac:dyDescent="0.15">
      <c r="A21" s="2">
        <v>17</v>
      </c>
      <c r="B21" s="3" t="s">
        <v>204</v>
      </c>
      <c r="C21" s="3">
        <v>750</v>
      </c>
      <c r="D21" s="4">
        <v>1800</v>
      </c>
      <c r="E21" s="4">
        <v>75</v>
      </c>
      <c r="F21" s="2" t="s">
        <v>8</v>
      </c>
      <c r="G21" s="2" t="s">
        <v>8</v>
      </c>
    </row>
    <row r="22" spans="1:7" ht="15.75" customHeight="1" x14ac:dyDescent="0.15">
      <c r="A22" s="2">
        <v>18</v>
      </c>
      <c r="B22" s="3" t="s">
        <v>204</v>
      </c>
      <c r="C22" s="3">
        <v>750</v>
      </c>
      <c r="D22" s="4">
        <v>1800</v>
      </c>
      <c r="E22" s="4">
        <v>75</v>
      </c>
      <c r="F22" s="2" t="s">
        <v>8</v>
      </c>
      <c r="G22" s="2" t="s">
        <v>8</v>
      </c>
    </row>
    <row r="23" spans="1:7" ht="15.75" customHeight="1" x14ac:dyDescent="0.15">
      <c r="A23" s="2">
        <v>19</v>
      </c>
      <c r="B23" s="3" t="s">
        <v>204</v>
      </c>
      <c r="C23" s="3">
        <v>750</v>
      </c>
      <c r="D23" s="4">
        <v>1800</v>
      </c>
      <c r="E23" s="4">
        <v>75</v>
      </c>
      <c r="F23" s="2" t="s">
        <v>8</v>
      </c>
      <c r="G23" s="2" t="s">
        <v>8</v>
      </c>
    </row>
    <row r="24" spans="1:7" ht="15.75" customHeight="1" x14ac:dyDescent="0.15">
      <c r="A24" s="2">
        <v>20</v>
      </c>
      <c r="B24" s="3" t="s">
        <v>204</v>
      </c>
      <c r="C24" s="3">
        <v>750</v>
      </c>
      <c r="D24" s="4">
        <v>1800</v>
      </c>
      <c r="E24" s="4">
        <v>75</v>
      </c>
      <c r="F24" s="2" t="s">
        <v>8</v>
      </c>
      <c r="G24" s="2" t="s">
        <v>8</v>
      </c>
    </row>
    <row r="25" spans="1:7" ht="15.75" customHeight="1" x14ac:dyDescent="0.15">
      <c r="A25" s="2">
        <v>21</v>
      </c>
      <c r="B25" s="3" t="s">
        <v>204</v>
      </c>
      <c r="C25" s="3">
        <v>750</v>
      </c>
      <c r="D25" s="4">
        <v>1800</v>
      </c>
      <c r="E25" s="4">
        <v>75</v>
      </c>
      <c r="F25" s="2" t="s">
        <v>8</v>
      </c>
      <c r="G25" s="2" t="s">
        <v>8</v>
      </c>
    </row>
    <row r="26" spans="1:7" ht="15.75" customHeight="1" x14ac:dyDescent="0.15">
      <c r="A26" s="2">
        <v>22</v>
      </c>
      <c r="B26" s="3" t="s">
        <v>204</v>
      </c>
      <c r="C26" s="3">
        <v>750</v>
      </c>
      <c r="D26" s="4">
        <v>1800</v>
      </c>
      <c r="E26" s="4">
        <v>75</v>
      </c>
      <c r="F26" s="2" t="s">
        <v>8</v>
      </c>
      <c r="G26" s="2" t="s">
        <v>8</v>
      </c>
    </row>
    <row r="27" spans="1:7" ht="15.75" customHeight="1" x14ac:dyDescent="0.15">
      <c r="A27" s="2">
        <v>23</v>
      </c>
      <c r="B27" s="3" t="s">
        <v>204</v>
      </c>
      <c r="C27" s="3">
        <v>750</v>
      </c>
      <c r="D27" s="4">
        <v>1800</v>
      </c>
      <c r="E27" s="4">
        <v>75</v>
      </c>
      <c r="F27" s="2" t="s">
        <v>8</v>
      </c>
      <c r="G27" s="2" t="s">
        <v>8</v>
      </c>
    </row>
    <row r="28" spans="1:7" ht="15.75" customHeight="1" x14ac:dyDescent="0.15">
      <c r="A28" s="2">
        <v>24</v>
      </c>
      <c r="B28" s="91" t="s">
        <v>204</v>
      </c>
      <c r="C28" s="91">
        <v>750</v>
      </c>
      <c r="D28" s="92">
        <v>1800</v>
      </c>
      <c r="E28" s="92">
        <v>75</v>
      </c>
      <c r="F28" s="93" t="s">
        <v>8</v>
      </c>
      <c r="G28" s="93" t="s">
        <v>8</v>
      </c>
    </row>
    <row r="29" spans="1:7" ht="15.75" customHeight="1" x14ac:dyDescent="0.15">
      <c r="A29" s="2" t="s">
        <v>9</v>
      </c>
      <c r="B29" s="2">
        <f>COUNTA(B5:B28)</f>
        <v>24</v>
      </c>
      <c r="C29" s="5">
        <f t="shared" ref="C29:E29" si="0">SUM(C5:C28)</f>
        <v>18600</v>
      </c>
      <c r="D29" s="6">
        <f t="shared" si="0"/>
        <v>43800</v>
      </c>
      <c r="E29" s="6">
        <f t="shared" si="0"/>
        <v>1800</v>
      </c>
    </row>
    <row r="31" spans="1:7" ht="13" x14ac:dyDescent="0.15"/>
  </sheetData>
  <mergeCells count="2">
    <mergeCell ref="A3:G3"/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K24"/>
  <sheetViews>
    <sheetView zoomScale="160" zoomScaleNormal="160" workbookViewId="0">
      <selection activeCell="F19" sqref="F19"/>
    </sheetView>
  </sheetViews>
  <sheetFormatPr baseColWidth="10" defaultColWidth="12.6640625" defaultRowHeight="15.75" customHeight="1" x14ac:dyDescent="0.15"/>
  <cols>
    <col min="1" max="1" width="21.6640625" customWidth="1"/>
    <col min="4" max="4" width="15" customWidth="1"/>
  </cols>
  <sheetData>
    <row r="1" spans="1:11" ht="15.75" customHeight="1" x14ac:dyDescent="0.15">
      <c r="A1" s="79" t="s">
        <v>10</v>
      </c>
      <c r="B1" s="80"/>
      <c r="C1" s="80"/>
      <c r="D1" s="80"/>
      <c r="E1" s="80"/>
      <c r="F1" s="80"/>
    </row>
    <row r="3" spans="1:11" ht="15.75" customHeight="1" x14ac:dyDescent="0.15">
      <c r="A3" s="2"/>
      <c r="B3" s="1" t="s">
        <v>11</v>
      </c>
      <c r="C3" s="1" t="s">
        <v>12</v>
      </c>
      <c r="D3" s="1" t="s">
        <v>13</v>
      </c>
      <c r="E3" s="2"/>
      <c r="F3" s="2"/>
      <c r="G3" s="2"/>
    </row>
    <row r="4" spans="1:11" ht="15.75" customHeight="1" x14ac:dyDescent="0.15">
      <c r="A4" s="7" t="s">
        <v>14</v>
      </c>
      <c r="B4" s="2"/>
      <c r="C4" s="2"/>
      <c r="D4" s="2"/>
      <c r="E4" s="2"/>
      <c r="F4" s="2"/>
      <c r="G4" s="2"/>
    </row>
    <row r="5" spans="1:11" ht="15.75" customHeight="1" x14ac:dyDescent="0.15">
      <c r="A5" s="1" t="s">
        <v>15</v>
      </c>
      <c r="B5" s="6">
        <f>'Step 1 Rent Roll'!D29*12</f>
        <v>525600</v>
      </c>
      <c r="C5" s="6">
        <f>B5/'Step 1 Rent Roll'!$B$29</f>
        <v>21900</v>
      </c>
      <c r="D5" s="2"/>
      <c r="E5" s="2"/>
      <c r="F5" s="2"/>
      <c r="G5" s="2"/>
    </row>
    <row r="6" spans="1:11" x14ac:dyDescent="0.2">
      <c r="A6" s="1" t="s">
        <v>5</v>
      </c>
      <c r="B6" s="6">
        <f>'Step 1 Rent Roll'!E29*12</f>
        <v>21600</v>
      </c>
      <c r="C6" s="6">
        <f>B6/'Step 1 Rent Roll'!$B$29</f>
        <v>900</v>
      </c>
      <c r="D6" s="2"/>
      <c r="E6" s="2"/>
      <c r="F6" s="8"/>
      <c r="G6" s="9"/>
      <c r="H6" s="10"/>
      <c r="I6" s="11"/>
      <c r="J6" s="12"/>
      <c r="K6" s="13"/>
    </row>
    <row r="7" spans="1:11" x14ac:dyDescent="0.2">
      <c r="A7" s="14" t="s">
        <v>16</v>
      </c>
      <c r="B7" s="15">
        <f>-SUM(B5:B6)*D7</f>
        <v>-27360</v>
      </c>
      <c r="C7" s="15">
        <f>B7/'Step 1 Rent Roll'!$B$29</f>
        <v>-1140</v>
      </c>
      <c r="D7" s="17">
        <v>0.05</v>
      </c>
      <c r="E7" s="2"/>
      <c r="F7" s="9"/>
      <c r="G7" s="9"/>
      <c r="H7" s="10"/>
      <c r="I7" s="11"/>
      <c r="J7" s="18"/>
      <c r="K7" s="13"/>
    </row>
    <row r="8" spans="1:11" x14ac:dyDescent="0.2">
      <c r="A8" s="7" t="s">
        <v>17</v>
      </c>
      <c r="B8" s="6">
        <f>SUM(B5:B7)</f>
        <v>519840</v>
      </c>
      <c r="C8" s="6">
        <f>B8/'Step 1 Rent Roll'!$B$29</f>
        <v>21660</v>
      </c>
      <c r="D8" s="2"/>
      <c r="E8" s="2"/>
      <c r="F8" s="9"/>
      <c r="G8" s="9"/>
      <c r="H8" s="10"/>
      <c r="I8" s="11"/>
      <c r="J8" s="18"/>
      <c r="K8" s="13"/>
    </row>
    <row r="9" spans="1:11" x14ac:dyDescent="0.2">
      <c r="A9" s="2"/>
      <c r="B9" s="6"/>
      <c r="C9" s="6"/>
      <c r="D9" s="2"/>
      <c r="E9" s="2"/>
      <c r="F9" s="9"/>
      <c r="G9" s="9"/>
      <c r="H9" s="10"/>
      <c r="I9" s="11"/>
      <c r="J9" s="18"/>
      <c r="K9" s="13"/>
    </row>
    <row r="10" spans="1:11" x14ac:dyDescent="0.2">
      <c r="A10" s="7" t="s">
        <v>18</v>
      </c>
      <c r="B10" s="6"/>
      <c r="C10" s="6"/>
      <c r="D10" s="2"/>
      <c r="E10" s="2"/>
      <c r="F10" s="81"/>
      <c r="G10" s="80"/>
      <c r="H10" s="10"/>
      <c r="I10" s="11"/>
      <c r="J10" s="18"/>
      <c r="K10" s="13"/>
    </row>
    <row r="11" spans="1:11" x14ac:dyDescent="0.2">
      <c r="A11" s="1" t="s">
        <v>19</v>
      </c>
      <c r="B11" s="6">
        <f>C11*'Step 1 Rent Roll'!$B$29</f>
        <v>28800</v>
      </c>
      <c r="C11" s="4">
        <v>1200</v>
      </c>
      <c r="D11" s="19">
        <f>B11/B8</f>
        <v>5.5401662049861494E-2</v>
      </c>
      <c r="E11" s="2"/>
      <c r="F11" s="9"/>
      <c r="G11" s="9"/>
      <c r="H11" s="10"/>
      <c r="I11" s="11"/>
      <c r="J11" s="18"/>
      <c r="K11" s="13"/>
    </row>
    <row r="12" spans="1:11" x14ac:dyDescent="0.2">
      <c r="A12" s="1" t="s">
        <v>20</v>
      </c>
      <c r="B12" s="6">
        <f>C12*'Step 1 Rent Roll'!$B$29</f>
        <v>15595.199999999999</v>
      </c>
      <c r="C12" s="6">
        <f>B8*D12/'Step 1 Rent Roll'!B29</f>
        <v>649.79999999999995</v>
      </c>
      <c r="D12" s="20">
        <v>0.03</v>
      </c>
      <c r="E12" s="2"/>
      <c r="F12" s="81"/>
      <c r="G12" s="80"/>
      <c r="H12" s="10"/>
      <c r="I12" s="11"/>
      <c r="J12" s="18"/>
      <c r="K12" s="13"/>
    </row>
    <row r="13" spans="1:11" x14ac:dyDescent="0.2">
      <c r="A13" s="1" t="s">
        <v>21</v>
      </c>
      <c r="B13" s="6">
        <f>C13*'Step 1 Rent Roll'!$B$29</f>
        <v>31190.399999999998</v>
      </c>
      <c r="C13" s="6">
        <f>B8*D13/'Step 1 Rent Roll'!B29</f>
        <v>1299.5999999999999</v>
      </c>
      <c r="D13" s="20">
        <v>0.06</v>
      </c>
      <c r="E13" s="2"/>
      <c r="F13" s="9"/>
      <c r="G13" s="9"/>
      <c r="H13" s="10"/>
      <c r="I13" s="11"/>
      <c r="J13" s="18"/>
      <c r="K13" s="13"/>
    </row>
    <row r="14" spans="1:11" x14ac:dyDescent="0.2">
      <c r="A14" s="1" t="s">
        <v>22</v>
      </c>
      <c r="B14" s="6">
        <f>C14*'Step 1 Rent Roll'!$B$29</f>
        <v>1200</v>
      </c>
      <c r="C14" s="4">
        <v>50</v>
      </c>
      <c r="D14" s="19">
        <f t="shared" ref="D14:D20" si="0">B14/$B$8</f>
        <v>2.3084025854108957E-3</v>
      </c>
      <c r="E14" s="2"/>
      <c r="F14" s="2"/>
      <c r="G14" s="2"/>
      <c r="H14" s="10"/>
      <c r="I14" s="11"/>
      <c r="J14" s="18"/>
      <c r="K14" s="13"/>
    </row>
    <row r="15" spans="1:11" x14ac:dyDescent="0.2">
      <c r="A15" s="1" t="s">
        <v>23</v>
      </c>
      <c r="B15" s="6">
        <f>C15*'Step 1 Rent Roll'!$B$29</f>
        <v>1200</v>
      </c>
      <c r="C15" s="4">
        <v>50</v>
      </c>
      <c r="D15" s="19">
        <f t="shared" si="0"/>
        <v>2.3084025854108957E-3</v>
      </c>
      <c r="E15" s="2"/>
      <c r="F15" s="2"/>
      <c r="G15" s="2"/>
      <c r="H15" s="21"/>
      <c r="I15" s="11"/>
      <c r="J15" s="11"/>
      <c r="K15" s="13"/>
    </row>
    <row r="16" spans="1:11" ht="15" x14ac:dyDescent="0.2">
      <c r="A16" s="1" t="s">
        <v>24</v>
      </c>
      <c r="B16" s="6">
        <f>C16*'Step 1 Rent Roll'!$B$29</f>
        <v>6000</v>
      </c>
      <c r="C16" s="4">
        <v>250</v>
      </c>
      <c r="D16" s="19">
        <f t="shared" si="0"/>
        <v>1.1542012927054479E-2</v>
      </c>
      <c r="E16" s="95" t="s">
        <v>25</v>
      </c>
      <c r="F16" s="94"/>
      <c r="G16" s="2"/>
      <c r="H16" s="22"/>
      <c r="I16" s="11"/>
      <c r="J16" s="23"/>
      <c r="K16" s="24"/>
    </row>
    <row r="17" spans="1:11" ht="15" x14ac:dyDescent="0.2">
      <c r="A17" s="1" t="s">
        <v>26</v>
      </c>
      <c r="B17" s="6">
        <f>C17*'Step 1 Rent Roll'!$B$29</f>
        <v>1200</v>
      </c>
      <c r="C17" s="4">
        <v>50</v>
      </c>
      <c r="D17" s="19">
        <f t="shared" si="0"/>
        <v>2.3084025854108957E-3</v>
      </c>
      <c r="E17" s="96" t="s">
        <v>27</v>
      </c>
      <c r="F17" s="6">
        <f>'Step 4 Budget'!C36</f>
        <v>5781000</v>
      </c>
      <c r="G17" s="25"/>
      <c r="H17" s="22"/>
      <c r="I17" s="11"/>
      <c r="J17" s="18"/>
      <c r="K17" s="13"/>
    </row>
    <row r="18" spans="1:11" ht="15" x14ac:dyDescent="0.2">
      <c r="A18" s="1" t="s">
        <v>28</v>
      </c>
      <c r="B18" s="6">
        <f>C18*'Step 1 Rent Roll'!$B$29</f>
        <v>19200</v>
      </c>
      <c r="C18" s="4">
        <v>800</v>
      </c>
      <c r="D18" s="19">
        <f t="shared" si="0"/>
        <v>3.6934441366574332E-2</v>
      </c>
      <c r="E18" s="96" t="s">
        <v>29</v>
      </c>
      <c r="F18" s="97">
        <v>8.0000000000000002E-3</v>
      </c>
      <c r="G18" s="9"/>
      <c r="H18" s="21"/>
      <c r="I18" s="11"/>
      <c r="J18" s="11"/>
      <c r="K18" s="13"/>
    </row>
    <row r="19" spans="1:11" ht="13" x14ac:dyDescent="0.15">
      <c r="A19" s="1" t="s">
        <v>30</v>
      </c>
      <c r="B19" s="6">
        <f>F19</f>
        <v>46248</v>
      </c>
      <c r="C19" s="6">
        <f>B19/'Step 1 Rent Roll'!B29</f>
        <v>1927</v>
      </c>
      <c r="D19" s="19">
        <f t="shared" si="0"/>
        <v>8.8965835641735921E-2</v>
      </c>
      <c r="E19" s="96" t="s">
        <v>31</v>
      </c>
      <c r="F19" s="98">
        <f>F18*F17</f>
        <v>46248</v>
      </c>
      <c r="G19" s="2"/>
    </row>
    <row r="20" spans="1:11" ht="15.75" customHeight="1" x14ac:dyDescent="0.15">
      <c r="A20" s="14" t="s">
        <v>32</v>
      </c>
      <c r="B20" s="15">
        <f>C20*'Step 1 Rent Roll'!B29</f>
        <v>6000</v>
      </c>
      <c r="C20" s="26">
        <v>250</v>
      </c>
      <c r="D20" s="27">
        <f t="shared" si="0"/>
        <v>1.1542012927054479E-2</v>
      </c>
      <c r="E20" s="2"/>
      <c r="F20" s="2"/>
      <c r="G20" s="2"/>
    </row>
    <row r="21" spans="1:11" ht="15.75" customHeight="1" x14ac:dyDescent="0.15">
      <c r="A21" s="7" t="s">
        <v>33</v>
      </c>
      <c r="B21" s="6">
        <f>SUM(B11:B20)</f>
        <v>156633.59999999998</v>
      </c>
      <c r="C21" s="6">
        <f>B21/'Step 1 Rent Roll'!B29</f>
        <v>6526.3999999999987</v>
      </c>
      <c r="D21" s="28">
        <f>B21/B8</f>
        <v>0.30131117266851332</v>
      </c>
      <c r="F21" s="2"/>
      <c r="G21" s="2"/>
    </row>
    <row r="22" spans="1:11" ht="15.75" customHeight="1" x14ac:dyDescent="0.15">
      <c r="A22" s="2"/>
      <c r="B22" s="6"/>
      <c r="C22" s="6"/>
      <c r="D22" s="7" t="s">
        <v>34</v>
      </c>
      <c r="E22" s="2"/>
      <c r="F22" s="2"/>
      <c r="G22" s="2"/>
    </row>
    <row r="23" spans="1:11" ht="15.75" customHeight="1" x14ac:dyDescent="0.15">
      <c r="A23" s="2"/>
      <c r="B23" s="6"/>
      <c r="C23" s="6"/>
      <c r="D23" s="2"/>
      <c r="E23" s="2"/>
      <c r="F23" s="2"/>
      <c r="G23" s="2"/>
    </row>
    <row r="24" spans="1:11" ht="15.75" customHeight="1" x14ac:dyDescent="0.15">
      <c r="A24" s="7" t="s">
        <v>35</v>
      </c>
      <c r="B24" s="36">
        <f t="shared" ref="B24:C24" si="1">B8-B21</f>
        <v>363206.40000000002</v>
      </c>
      <c r="C24" s="36">
        <f t="shared" si="1"/>
        <v>15133.600000000002</v>
      </c>
      <c r="D24" s="2"/>
      <c r="E24" s="2"/>
      <c r="F24" s="2"/>
      <c r="G24" s="2"/>
    </row>
  </sheetData>
  <mergeCells count="4">
    <mergeCell ref="A1:F1"/>
    <mergeCell ref="F10:G10"/>
    <mergeCell ref="F12:G12"/>
    <mergeCell ref="E16:F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D6"/>
  <sheetViews>
    <sheetView zoomScale="190" zoomScaleNormal="190" workbookViewId="0">
      <selection activeCell="F17" sqref="F17"/>
    </sheetView>
  </sheetViews>
  <sheetFormatPr baseColWidth="10" defaultColWidth="12.6640625" defaultRowHeight="15.75" customHeight="1" x14ac:dyDescent="0.15"/>
  <cols>
    <col min="2" max="2" width="16.1640625" customWidth="1"/>
    <col min="3" max="3" width="14.33203125" customWidth="1"/>
    <col min="4" max="4" width="14.6640625" customWidth="1"/>
  </cols>
  <sheetData>
    <row r="1" spans="1:4" ht="15.75" customHeight="1" x14ac:dyDescent="0.15">
      <c r="A1" s="79" t="s">
        <v>36</v>
      </c>
      <c r="B1" s="80"/>
      <c r="C1" s="80"/>
      <c r="D1" s="80"/>
    </row>
    <row r="3" spans="1:4" ht="15.75" customHeight="1" x14ac:dyDescent="0.15">
      <c r="A3" s="29"/>
      <c r="B3" s="1" t="s">
        <v>37</v>
      </c>
      <c r="C3" s="30" t="s">
        <v>38</v>
      </c>
      <c r="D3" s="1" t="s">
        <v>39</v>
      </c>
    </row>
    <row r="4" spans="1:4" ht="15.75" customHeight="1" x14ac:dyDescent="0.15">
      <c r="A4" s="1" t="s">
        <v>40</v>
      </c>
      <c r="B4" s="6">
        <f>'Step 2 Operating Budget'!B24</f>
        <v>363206.40000000002</v>
      </c>
      <c r="C4" s="36">
        <f t="shared" ref="C4:D4" si="0">B4</f>
        <v>363206.40000000002</v>
      </c>
      <c r="D4" s="6">
        <f t="shared" si="0"/>
        <v>363206.40000000002</v>
      </c>
    </row>
    <row r="5" spans="1:4" ht="15.75" customHeight="1" x14ac:dyDescent="0.15">
      <c r="A5" s="14" t="s">
        <v>41</v>
      </c>
      <c r="B5" s="31">
        <v>5.7500000000000002E-2</v>
      </c>
      <c r="C5" s="32">
        <v>0.06</v>
      </c>
      <c r="D5" s="31">
        <v>6.25E-2</v>
      </c>
    </row>
    <row r="6" spans="1:4" ht="15.75" customHeight="1" x14ac:dyDescent="0.15">
      <c r="A6" s="1" t="s">
        <v>42</v>
      </c>
      <c r="B6" s="6">
        <f t="shared" ref="B6:D6" si="1">B4/B5</f>
        <v>6316633.0434782607</v>
      </c>
      <c r="C6" s="36">
        <f t="shared" si="1"/>
        <v>6053440.0000000009</v>
      </c>
      <c r="D6" s="6">
        <f t="shared" si="1"/>
        <v>5811302.4000000004</v>
      </c>
    </row>
  </sheetData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G41"/>
  <sheetViews>
    <sheetView topLeftCell="A14" zoomScale="160" zoomScaleNormal="160" workbookViewId="0">
      <selection activeCell="A39" sqref="A39:E39"/>
    </sheetView>
  </sheetViews>
  <sheetFormatPr baseColWidth="10" defaultColWidth="12.6640625" defaultRowHeight="15.75" customHeight="1" x14ac:dyDescent="0.15"/>
  <cols>
    <col min="1" max="1" width="31.83203125" customWidth="1"/>
    <col min="2" max="2" width="13.6640625" customWidth="1"/>
    <col min="5" max="5" width="13.1640625" customWidth="1"/>
    <col min="6" max="6" width="16.33203125" customWidth="1"/>
  </cols>
  <sheetData>
    <row r="1" spans="1:7" ht="15.75" customHeight="1" x14ac:dyDescent="0.15">
      <c r="A1" s="82" t="s">
        <v>43</v>
      </c>
      <c r="B1" s="80"/>
      <c r="C1" s="80"/>
      <c r="D1" s="80"/>
      <c r="E1" s="80"/>
      <c r="F1" s="80"/>
      <c r="G1" s="80"/>
    </row>
    <row r="3" spans="1:7" ht="15.75" customHeight="1" x14ac:dyDescent="0.15">
      <c r="A3" s="2"/>
      <c r="B3" s="2"/>
      <c r="C3" s="1" t="s">
        <v>44</v>
      </c>
      <c r="D3" s="1" t="s">
        <v>12</v>
      </c>
      <c r="E3" s="2" t="s">
        <v>45</v>
      </c>
      <c r="F3" s="2"/>
      <c r="G3" s="2"/>
    </row>
    <row r="4" spans="1:7" ht="15.75" customHeight="1" x14ac:dyDescent="0.15">
      <c r="A4" s="7" t="s">
        <v>46</v>
      </c>
      <c r="B4" s="2"/>
      <c r="C4" s="2"/>
      <c r="D4" s="2"/>
      <c r="E4" s="2"/>
      <c r="F4" s="2"/>
      <c r="G4" s="2"/>
    </row>
    <row r="5" spans="1:7" ht="15.75" customHeight="1" x14ac:dyDescent="0.15">
      <c r="A5" s="1" t="s">
        <v>47</v>
      </c>
      <c r="B5" s="2"/>
      <c r="C5" s="4">
        <v>150000</v>
      </c>
      <c r="D5" s="6">
        <f>C5/'Step 1 Rent Roll'!$B$29</f>
        <v>6250</v>
      </c>
      <c r="E5" s="6">
        <f>C5/'Step 1 Rent Roll'!$C$29</f>
        <v>8.064516129032258</v>
      </c>
      <c r="F5" s="2"/>
      <c r="G5" s="2"/>
    </row>
    <row r="6" spans="1:7" ht="15.75" customHeight="1" x14ac:dyDescent="0.15">
      <c r="A6" s="14" t="s">
        <v>48</v>
      </c>
      <c r="B6" s="33">
        <v>0.02</v>
      </c>
      <c r="C6" s="15">
        <f>C5*B6</f>
        <v>3000</v>
      </c>
      <c r="D6" s="15">
        <f>C6/'Step 1 Rent Roll'!$B$29</f>
        <v>125</v>
      </c>
      <c r="E6" s="15">
        <f>C6/'Step 1 Rent Roll'!$C$29</f>
        <v>0.16129032258064516</v>
      </c>
      <c r="F6" s="2"/>
      <c r="G6" s="2"/>
    </row>
    <row r="7" spans="1:7" ht="15.75" customHeight="1" x14ac:dyDescent="0.15">
      <c r="A7" s="7" t="s">
        <v>49</v>
      </c>
      <c r="B7" s="2"/>
      <c r="C7" s="6">
        <f>SUM(C5:C6)</f>
        <v>153000</v>
      </c>
      <c r="D7" s="6">
        <f>C7/'Step 1 Rent Roll'!$B$29</f>
        <v>6375</v>
      </c>
      <c r="E7" s="6">
        <f>C7/'Step 1 Rent Roll'!$C$29</f>
        <v>8.2258064516129039</v>
      </c>
      <c r="F7" s="2"/>
      <c r="G7" s="2"/>
    </row>
    <row r="8" spans="1:7" ht="15.75" customHeight="1" x14ac:dyDescent="0.15">
      <c r="A8" s="2"/>
      <c r="B8" s="2"/>
      <c r="C8" s="6"/>
      <c r="D8" s="6"/>
      <c r="E8" s="6"/>
      <c r="F8" s="2"/>
      <c r="G8" s="2"/>
    </row>
    <row r="9" spans="1:7" ht="15.75" customHeight="1" x14ac:dyDescent="0.15">
      <c r="A9" s="7" t="s">
        <v>50</v>
      </c>
      <c r="B9" s="2"/>
      <c r="C9" s="6"/>
      <c r="D9" s="6"/>
      <c r="E9" s="6"/>
      <c r="F9" s="83" t="s">
        <v>51</v>
      </c>
      <c r="G9" s="80"/>
    </row>
    <row r="10" spans="1:7" ht="15.75" customHeight="1" x14ac:dyDescent="0.15">
      <c r="A10" s="1" t="s">
        <v>52</v>
      </c>
      <c r="B10" s="2"/>
      <c r="C10" s="6">
        <f>G12</f>
        <v>300000</v>
      </c>
      <c r="D10" s="6">
        <f>C10/'Step 1 Rent Roll'!$B$29</f>
        <v>12500</v>
      </c>
      <c r="E10" s="6" t="s">
        <v>8</v>
      </c>
      <c r="F10" s="2" t="s">
        <v>53</v>
      </c>
      <c r="G10" s="3">
        <v>0.75</v>
      </c>
    </row>
    <row r="11" spans="1:7" ht="15.75" customHeight="1" x14ac:dyDescent="0.15">
      <c r="A11" s="100" t="s">
        <v>54</v>
      </c>
      <c r="B11" s="93"/>
      <c r="C11" s="101">
        <f>E11*'Step 1 Rent Roll'!C29</f>
        <v>3720000</v>
      </c>
      <c r="D11" s="101">
        <f>C11/'Step 1 Rent Roll'!$B$29</f>
        <v>155000</v>
      </c>
      <c r="E11" s="92">
        <v>200</v>
      </c>
      <c r="F11" s="2" t="s">
        <v>55</v>
      </c>
      <c r="G11" s="4">
        <v>400000</v>
      </c>
    </row>
    <row r="12" spans="1:7" ht="15.75" customHeight="1" x14ac:dyDescent="0.15">
      <c r="A12" s="7" t="s">
        <v>56</v>
      </c>
      <c r="B12" s="2"/>
      <c r="C12" s="6">
        <f>SUM(C10:C11)</f>
        <v>4020000</v>
      </c>
      <c r="D12" s="6">
        <f>C12/'Step 1 Rent Roll'!$B$29</f>
        <v>167500</v>
      </c>
      <c r="E12" s="34">
        <f>C12/'Step 1 Rent Roll'!$C$29</f>
        <v>216.12903225806451</v>
      </c>
      <c r="F12" s="2" t="s">
        <v>57</v>
      </c>
      <c r="G12" s="6">
        <f>G10*G11</f>
        <v>300000</v>
      </c>
    </row>
    <row r="13" spans="1:7" ht="15.75" customHeight="1" x14ac:dyDescent="0.15">
      <c r="A13" s="1"/>
      <c r="B13" s="2"/>
      <c r="C13" s="6"/>
      <c r="D13" s="6"/>
      <c r="E13" s="34"/>
      <c r="F13" s="2"/>
      <c r="G13" s="6"/>
    </row>
    <row r="14" spans="1:7" ht="15.75" customHeight="1" x14ac:dyDescent="0.15">
      <c r="A14" s="1" t="s">
        <v>58</v>
      </c>
      <c r="B14" s="20">
        <v>0.08</v>
      </c>
      <c r="C14" s="6">
        <f>B14*C12</f>
        <v>321600</v>
      </c>
      <c r="D14" s="6">
        <f>C14/'Step 1 Rent Roll'!$B$29</f>
        <v>13400</v>
      </c>
      <c r="E14" s="34">
        <f>C14/'Step 1 Rent Roll'!$C$29</f>
        <v>17.29032258064516</v>
      </c>
      <c r="F14" s="2"/>
      <c r="G14" s="2"/>
    </row>
    <row r="15" spans="1:7" ht="15.75" customHeight="1" x14ac:dyDescent="0.15">
      <c r="A15" s="100" t="s">
        <v>59</v>
      </c>
      <c r="B15" s="102">
        <v>0.1</v>
      </c>
      <c r="C15" s="101">
        <f>B15*C12</f>
        <v>402000</v>
      </c>
      <c r="D15" s="101">
        <f>C15/'Step 1 Rent Roll'!$B$29</f>
        <v>16750</v>
      </c>
      <c r="E15" s="103">
        <f>C15/'Step 1 Rent Roll'!$C$29</f>
        <v>21.612903225806452</v>
      </c>
      <c r="F15" s="2"/>
      <c r="G15" s="2"/>
    </row>
    <row r="16" spans="1:7" ht="15.75" customHeight="1" x14ac:dyDescent="0.15">
      <c r="A16" s="7" t="s">
        <v>60</v>
      </c>
      <c r="B16" s="2"/>
      <c r="C16" s="6">
        <f>SUM(C14:C15,C12)</f>
        <v>4743600</v>
      </c>
      <c r="D16" s="6">
        <f>C16/'Step 1 Rent Roll'!$B$29</f>
        <v>197650</v>
      </c>
      <c r="E16" s="34">
        <f>C16/'Step 1 Rent Roll'!$C$29</f>
        <v>255.03225806451613</v>
      </c>
      <c r="F16" s="2"/>
      <c r="G16" s="2"/>
    </row>
    <row r="17" spans="1:7" ht="15.75" customHeight="1" x14ac:dyDescent="0.15">
      <c r="A17" s="2"/>
      <c r="B17" s="2"/>
      <c r="C17" s="6"/>
      <c r="D17" s="6"/>
      <c r="E17" s="34"/>
      <c r="F17" s="2"/>
      <c r="G17" s="2"/>
    </row>
    <row r="18" spans="1:7" ht="15.75" customHeight="1" x14ac:dyDescent="0.15">
      <c r="A18" s="7" t="s">
        <v>61</v>
      </c>
      <c r="B18" s="2"/>
      <c r="C18" s="6">
        <f>C16+C7</f>
        <v>4896600</v>
      </c>
      <c r="D18" s="6">
        <f>C18/'Step 1 Rent Roll'!$B$29</f>
        <v>204025</v>
      </c>
      <c r="E18" s="34">
        <f>C18/'Step 1 Rent Roll'!$C$29</f>
        <v>263.25806451612902</v>
      </c>
      <c r="F18" s="2"/>
      <c r="G18" s="2"/>
    </row>
    <row r="19" spans="1:7" ht="15.75" customHeight="1" x14ac:dyDescent="0.15">
      <c r="A19" s="2"/>
      <c r="B19" s="2"/>
      <c r="C19" s="6"/>
      <c r="D19" s="6"/>
      <c r="E19" s="34"/>
      <c r="F19" s="2"/>
      <c r="G19" s="2"/>
    </row>
    <row r="20" spans="1:7" ht="15.75" customHeight="1" x14ac:dyDescent="0.15">
      <c r="A20" s="7" t="s">
        <v>62</v>
      </c>
      <c r="B20" s="1" t="s">
        <v>63</v>
      </c>
      <c r="C20" s="6"/>
      <c r="D20" s="6"/>
      <c r="E20" s="34"/>
      <c r="F20" s="2"/>
      <c r="G20" s="2"/>
    </row>
    <row r="21" spans="1:7" ht="15.75" customHeight="1" x14ac:dyDescent="0.15">
      <c r="A21" s="1" t="s">
        <v>64</v>
      </c>
      <c r="B21" s="20">
        <v>3.5000000000000003E-2</v>
      </c>
      <c r="C21" s="6">
        <f t="shared" ref="C21:C29" si="0">$C$12*B21</f>
        <v>140700</v>
      </c>
      <c r="D21" s="6">
        <f>C21/'Step 1 Rent Roll'!$B$29</f>
        <v>5862.5</v>
      </c>
      <c r="E21" s="34">
        <f>C21/'Step 1 Rent Roll'!$C$29</f>
        <v>7.564516129032258</v>
      </c>
      <c r="F21" s="2"/>
      <c r="G21" s="2"/>
    </row>
    <row r="22" spans="1:7" ht="15.75" customHeight="1" x14ac:dyDescent="0.15">
      <c r="A22" s="1" t="s">
        <v>65</v>
      </c>
      <c r="B22" s="20">
        <v>5.0000000000000001E-3</v>
      </c>
      <c r="C22" s="6">
        <f t="shared" si="0"/>
        <v>20100</v>
      </c>
      <c r="D22" s="6">
        <f>C22/'Step 1 Rent Roll'!$B$29</f>
        <v>837.5</v>
      </c>
      <c r="E22" s="34">
        <f>C22/'Step 1 Rent Roll'!$C$29</f>
        <v>1.0806451612903225</v>
      </c>
      <c r="F22" s="2"/>
      <c r="G22" s="2"/>
    </row>
    <row r="23" spans="1:7" ht="15.75" customHeight="1" x14ac:dyDescent="0.15">
      <c r="A23" s="1" t="s">
        <v>28</v>
      </c>
      <c r="B23" s="20">
        <v>0.01</v>
      </c>
      <c r="C23" s="6">
        <f t="shared" si="0"/>
        <v>40200</v>
      </c>
      <c r="D23" s="6">
        <f>C23/'Step 1 Rent Roll'!$B$29</f>
        <v>1675</v>
      </c>
      <c r="E23" s="34">
        <f>C23/'Step 1 Rent Roll'!$C$29</f>
        <v>2.161290322580645</v>
      </c>
      <c r="F23" s="2"/>
      <c r="G23" s="2"/>
    </row>
    <row r="24" spans="1:7" ht="15.75" customHeight="1" x14ac:dyDescent="0.15">
      <c r="A24" s="1" t="s">
        <v>23</v>
      </c>
      <c r="B24" s="20">
        <v>5.0000000000000001E-3</v>
      </c>
      <c r="C24" s="6">
        <f t="shared" si="0"/>
        <v>20100</v>
      </c>
      <c r="D24" s="6">
        <f>C24/'Step 1 Rent Roll'!$B$29</f>
        <v>837.5</v>
      </c>
      <c r="E24" s="34">
        <f>C24/'Step 1 Rent Roll'!$C$29</f>
        <v>1.0806451612903225</v>
      </c>
      <c r="F24" s="2"/>
      <c r="G24" s="2"/>
    </row>
    <row r="25" spans="1:7" ht="15.75" customHeight="1" x14ac:dyDescent="0.15">
      <c r="A25" s="1" t="s">
        <v>66</v>
      </c>
      <c r="B25" s="20">
        <v>1.4999999999999999E-2</v>
      </c>
      <c r="C25" s="6">
        <f t="shared" si="0"/>
        <v>60300</v>
      </c>
      <c r="D25" s="6">
        <f>C25/'Step 1 Rent Roll'!$B$29</f>
        <v>2512.5</v>
      </c>
      <c r="E25" s="34">
        <f>C25/'Step 1 Rent Roll'!$C$29</f>
        <v>3.2419354838709675</v>
      </c>
      <c r="F25" s="2"/>
      <c r="G25" s="2"/>
    </row>
    <row r="26" spans="1:7" ht="15.75" customHeight="1" x14ac:dyDescent="0.15">
      <c r="A26" s="1" t="s">
        <v>19</v>
      </c>
      <c r="B26" s="20">
        <v>0.01</v>
      </c>
      <c r="C26" s="6">
        <f t="shared" si="0"/>
        <v>40200</v>
      </c>
      <c r="D26" s="6">
        <f>C26/'Step 1 Rent Roll'!$B$29</f>
        <v>1675</v>
      </c>
      <c r="E26" s="34">
        <f>C26/'Step 1 Rent Roll'!$C$29</f>
        <v>2.161290322580645</v>
      </c>
      <c r="F26" s="2"/>
      <c r="G26" s="2"/>
    </row>
    <row r="27" spans="1:7" ht="15.75" customHeight="1" x14ac:dyDescent="0.15">
      <c r="A27" s="1" t="s">
        <v>67</v>
      </c>
      <c r="B27" s="20">
        <v>5.0000000000000001E-3</v>
      </c>
      <c r="C27" s="6">
        <f t="shared" si="0"/>
        <v>20100</v>
      </c>
      <c r="D27" s="6">
        <f>C27/'Step 1 Rent Roll'!$B$29</f>
        <v>837.5</v>
      </c>
      <c r="E27" s="34">
        <f>C27/'Step 1 Rent Roll'!$C$29</f>
        <v>1.0806451612903225</v>
      </c>
      <c r="F27" s="2"/>
      <c r="G27" s="2"/>
    </row>
    <row r="28" spans="1:7" ht="15.75" customHeight="1" x14ac:dyDescent="0.15">
      <c r="A28" s="1" t="s">
        <v>68</v>
      </c>
      <c r="B28" s="20">
        <v>0.05</v>
      </c>
      <c r="C28" s="6">
        <f t="shared" si="0"/>
        <v>201000</v>
      </c>
      <c r="D28" s="6">
        <f>C28/'Step 1 Rent Roll'!$B$29</f>
        <v>8375</v>
      </c>
      <c r="E28" s="34">
        <f>C28/'Step 1 Rent Roll'!$C$29</f>
        <v>10.806451612903226</v>
      </c>
      <c r="F28" s="2"/>
      <c r="G28" s="2"/>
    </row>
    <row r="29" spans="1:7" ht="15.75" customHeight="1" x14ac:dyDescent="0.15">
      <c r="A29" s="100" t="s">
        <v>69</v>
      </c>
      <c r="B29" s="102">
        <v>5.0000000000000001E-3</v>
      </c>
      <c r="C29" s="101">
        <f t="shared" si="0"/>
        <v>20100</v>
      </c>
      <c r="D29" s="101">
        <f>C29/'Step 1 Rent Roll'!$B$29</f>
        <v>837.5</v>
      </c>
      <c r="E29" s="103">
        <f>C29/'Step 1 Rent Roll'!$C$29</f>
        <v>1.0806451612903225</v>
      </c>
      <c r="F29" s="2"/>
      <c r="G29" s="2"/>
    </row>
    <row r="30" spans="1:7" ht="15.75" customHeight="1" x14ac:dyDescent="0.15">
      <c r="A30" s="7" t="s">
        <v>70</v>
      </c>
      <c r="B30" s="2"/>
      <c r="C30" s="6">
        <f>SUM(C21:C29)</f>
        <v>562800</v>
      </c>
      <c r="D30" s="6">
        <f>C30/'Step 1 Rent Roll'!$B$29</f>
        <v>23450</v>
      </c>
      <c r="E30" s="34">
        <f>C30/'Step 1 Rent Roll'!$C$29</f>
        <v>30.258064516129032</v>
      </c>
      <c r="F30" s="2"/>
      <c r="G30" s="2"/>
    </row>
    <row r="31" spans="1:7" ht="15.75" customHeight="1" x14ac:dyDescent="0.15">
      <c r="A31" s="2"/>
      <c r="B31" s="2"/>
      <c r="C31" s="6"/>
      <c r="D31" s="6"/>
      <c r="E31" s="34"/>
      <c r="F31" s="2"/>
      <c r="G31" s="2"/>
    </row>
    <row r="32" spans="1:7" ht="15.75" customHeight="1" x14ac:dyDescent="0.15">
      <c r="A32" s="1" t="s">
        <v>71</v>
      </c>
      <c r="B32" s="35">
        <v>0.05</v>
      </c>
      <c r="C32" s="6">
        <f>(C30+C16)*B32</f>
        <v>265320</v>
      </c>
      <c r="D32" s="6">
        <f>C32/'Step 1 Rent Roll'!$B$29</f>
        <v>11055</v>
      </c>
      <c r="E32" s="34">
        <f>C32/'Step 1 Rent Roll'!$C$29</f>
        <v>14.264516129032257</v>
      </c>
      <c r="F32" s="2"/>
      <c r="G32" s="2"/>
    </row>
    <row r="33" spans="1:7" ht="15.75" customHeight="1" x14ac:dyDescent="0.15">
      <c r="A33" s="100" t="s">
        <v>72</v>
      </c>
      <c r="B33" s="104">
        <v>0.1</v>
      </c>
      <c r="C33" s="101">
        <f>B33*C30</f>
        <v>56280</v>
      </c>
      <c r="D33" s="101">
        <f>C33/'Step 1 Rent Roll'!$B$29</f>
        <v>2345</v>
      </c>
      <c r="E33" s="103">
        <f>C33/'Step 1 Rent Roll'!$C$29</f>
        <v>3.0258064516129033</v>
      </c>
      <c r="F33" s="2"/>
      <c r="G33" s="2"/>
    </row>
    <row r="34" spans="1:7" ht="15.75" customHeight="1" x14ac:dyDescent="0.15">
      <c r="A34" s="7" t="s">
        <v>73</v>
      </c>
      <c r="B34" s="2"/>
      <c r="C34" s="6">
        <f>SUM(C32:C33,C30)</f>
        <v>884400</v>
      </c>
      <c r="D34" s="6">
        <f>C34/'Step 1 Rent Roll'!$B$29</f>
        <v>36850</v>
      </c>
      <c r="E34" s="34">
        <f>C34/'Step 1 Rent Roll'!$C$29</f>
        <v>47.548387096774192</v>
      </c>
      <c r="F34" s="2"/>
      <c r="G34" s="2"/>
    </row>
    <row r="35" spans="1:7" ht="15.75" customHeight="1" x14ac:dyDescent="0.15">
      <c r="A35" s="2"/>
      <c r="B35" s="2"/>
      <c r="C35" s="6"/>
      <c r="D35" s="6"/>
      <c r="E35" s="34"/>
      <c r="F35" s="2"/>
      <c r="G35" s="2"/>
    </row>
    <row r="36" spans="1:7" ht="15.75" customHeight="1" x14ac:dyDescent="0.15">
      <c r="A36" s="7" t="s">
        <v>74</v>
      </c>
      <c r="B36" s="7"/>
      <c r="C36" s="36">
        <f>C34+C18</f>
        <v>5781000</v>
      </c>
      <c r="D36" s="36">
        <f>C36/'Step 1 Rent Roll'!$B$29</f>
        <v>240875</v>
      </c>
      <c r="E36" s="37">
        <f>C36/'Step 1 Rent Roll'!$C$29</f>
        <v>310.80645161290323</v>
      </c>
      <c r="F36" s="2"/>
      <c r="G36" s="2"/>
    </row>
    <row r="37" spans="1:7" ht="15.75" customHeight="1" x14ac:dyDescent="0.15">
      <c r="A37" s="2"/>
      <c r="B37" s="2"/>
      <c r="C37" s="6"/>
      <c r="D37" s="36"/>
      <c r="E37" s="37"/>
      <c r="F37" s="2"/>
      <c r="G37" s="2"/>
    </row>
    <row r="38" spans="1:7" ht="15.75" customHeight="1" x14ac:dyDescent="0.15">
      <c r="A38" s="1" t="s">
        <v>75</v>
      </c>
      <c r="B38" s="2"/>
      <c r="C38" s="6">
        <f ca="1">'Step 5 Debt Financing'!E18</f>
        <v>31159.306907955626</v>
      </c>
      <c r="D38" s="6">
        <f ca="1">C38/'Step 1 Rent Roll'!$B$29</f>
        <v>1298.304454498151</v>
      </c>
      <c r="E38" s="34">
        <f ca="1">C38/'Step 1 Rent Roll'!$C$29</f>
        <v>1.6752315541911627</v>
      </c>
      <c r="F38" s="2"/>
      <c r="G38" s="2"/>
    </row>
    <row r="39" spans="1:7" ht="15.75" customHeight="1" x14ac:dyDescent="0.15">
      <c r="A39" s="100" t="s">
        <v>76</v>
      </c>
      <c r="B39" s="93"/>
      <c r="C39" s="101">
        <f ca="1">'Step 5 Debt Financing'!E10</f>
        <v>154106.07770583403</v>
      </c>
      <c r="D39" s="101">
        <f ca="1">C39/'Step 1 Rent Roll'!$B$29</f>
        <v>6421.0865710764183</v>
      </c>
      <c r="E39" s="103">
        <f ca="1">C39/'Step 1 Rent Roll'!$C$29</f>
        <v>8.2852729949373138</v>
      </c>
      <c r="F39" s="2"/>
      <c r="G39" s="2"/>
    </row>
    <row r="40" spans="1:7" ht="15.75" customHeight="1" x14ac:dyDescent="0.15">
      <c r="A40" s="7" t="s">
        <v>77</v>
      </c>
      <c r="B40" s="2"/>
      <c r="C40" s="36">
        <f ca="1">SUM(C36:C39)</f>
        <v>5966265.3846137896</v>
      </c>
      <c r="D40" s="36">
        <f ca="1">C40/'Step 1 Rent Roll'!$B$29</f>
        <v>248594.39102557456</v>
      </c>
      <c r="E40" s="37">
        <f ca="1">C40/'Step 1 Rent Roll'!$C$29</f>
        <v>320.7669561620317</v>
      </c>
      <c r="F40" s="2"/>
      <c r="G40" s="2"/>
    </row>
    <row r="41" spans="1:7" ht="15.75" customHeight="1" x14ac:dyDescent="0.15">
      <c r="A41" s="7"/>
      <c r="B41" s="7"/>
      <c r="C41" s="36"/>
      <c r="D41" s="36"/>
      <c r="E41" s="37"/>
      <c r="F41" s="2"/>
      <c r="G41" s="2"/>
    </row>
  </sheetData>
  <mergeCells count="2">
    <mergeCell ref="A1:G1"/>
    <mergeCell ref="F9:G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E29"/>
  <sheetViews>
    <sheetView zoomScale="150" zoomScaleNormal="150" workbookViewId="0">
      <selection activeCell="E10" sqref="E10"/>
    </sheetView>
  </sheetViews>
  <sheetFormatPr baseColWidth="10" defaultColWidth="12.6640625" defaultRowHeight="15.75" customHeight="1" x14ac:dyDescent="0.15"/>
  <cols>
    <col min="1" max="1" width="46" customWidth="1"/>
    <col min="3" max="3" width="4.1640625" customWidth="1"/>
    <col min="4" max="4" width="50.83203125" customWidth="1"/>
  </cols>
  <sheetData>
    <row r="1" spans="1:5" ht="15.75" customHeight="1" x14ac:dyDescent="0.15">
      <c r="A1" s="79" t="s">
        <v>78</v>
      </c>
      <c r="B1" s="80"/>
      <c r="C1" s="80"/>
      <c r="D1" s="80"/>
      <c r="E1" s="80"/>
    </row>
    <row r="3" spans="1:5" ht="15.75" customHeight="1" x14ac:dyDescent="0.15">
      <c r="A3" s="1" t="s">
        <v>79</v>
      </c>
      <c r="B3" s="6">
        <f>'Step 2 Operating Budget'!B24</f>
        <v>363206.40000000002</v>
      </c>
      <c r="D3" s="2" t="s">
        <v>80</v>
      </c>
      <c r="E3" s="38">
        <v>6.5000000000000002E-2</v>
      </c>
    </row>
    <row r="4" spans="1:5" ht="15.75" customHeight="1" x14ac:dyDescent="0.15">
      <c r="A4" s="2"/>
      <c r="B4" s="2"/>
    </row>
    <row r="5" spans="1:5" ht="15.75" customHeight="1" x14ac:dyDescent="0.15">
      <c r="A5" s="7" t="s">
        <v>81</v>
      </c>
      <c r="B5" s="2"/>
      <c r="D5" s="82" t="s">
        <v>82</v>
      </c>
      <c r="E5" s="80"/>
    </row>
    <row r="6" spans="1:5" ht="15.75" customHeight="1" x14ac:dyDescent="0.15">
      <c r="A6" s="1" t="s">
        <v>41</v>
      </c>
      <c r="B6" s="39">
        <f>'Step 3 Property Value'!C5</f>
        <v>0.06</v>
      </c>
      <c r="D6" s="2" t="s">
        <v>83</v>
      </c>
      <c r="E6" s="6">
        <f>B18</f>
        <v>4398957.7184338579</v>
      </c>
    </row>
    <row r="7" spans="1:5" ht="15.75" customHeight="1" x14ac:dyDescent="0.15">
      <c r="A7" s="1" t="s">
        <v>84</v>
      </c>
      <c r="B7" s="6">
        <f>B3/B6</f>
        <v>6053440.0000000009</v>
      </c>
      <c r="D7" s="2"/>
      <c r="E7" s="2"/>
    </row>
    <row r="8" spans="1:5" ht="15.75" customHeight="1" x14ac:dyDescent="0.15">
      <c r="A8" s="1" t="s">
        <v>85</v>
      </c>
      <c r="B8" s="35">
        <v>0.8</v>
      </c>
      <c r="D8" s="82" t="s">
        <v>86</v>
      </c>
      <c r="E8" s="80"/>
    </row>
    <row r="9" spans="1:5" ht="15.75" customHeight="1" x14ac:dyDescent="0.15">
      <c r="A9" s="7" t="s">
        <v>87</v>
      </c>
      <c r="B9" s="6">
        <f>B7*B8</f>
        <v>4842752.0000000009</v>
      </c>
      <c r="D9" s="2" t="s">
        <v>74</v>
      </c>
      <c r="E9" s="6">
        <f>'Step 4 Budget'!C36</f>
        <v>5781000</v>
      </c>
    </row>
    <row r="10" spans="1:5" ht="15.75" customHeight="1" x14ac:dyDescent="0.15">
      <c r="A10" s="2"/>
      <c r="B10" s="2"/>
      <c r="D10" s="2" t="s">
        <v>88</v>
      </c>
      <c r="E10" s="6">
        <f ca="1">-SUM('Step 6 Project Schedule and Net'!B33:Y33)</f>
        <v>154106.07770583403</v>
      </c>
    </row>
    <row r="11" spans="1:5" ht="15.75" customHeight="1" x14ac:dyDescent="0.15">
      <c r="A11" s="7" t="s">
        <v>89</v>
      </c>
      <c r="B11" s="2"/>
      <c r="D11" s="2" t="s">
        <v>90</v>
      </c>
      <c r="E11" s="35">
        <v>0.7</v>
      </c>
    </row>
    <row r="12" spans="1:5" ht="15.75" customHeight="1" x14ac:dyDescent="0.15">
      <c r="A12" s="1" t="s">
        <v>91</v>
      </c>
      <c r="B12" s="3">
        <v>30</v>
      </c>
      <c r="D12" s="7" t="s">
        <v>86</v>
      </c>
      <c r="E12" s="6">
        <f ca="1">(E9+E10)*E11</f>
        <v>4154574.2543940837</v>
      </c>
    </row>
    <row r="13" spans="1:5" ht="15.75" customHeight="1" x14ac:dyDescent="0.15">
      <c r="A13" s="1" t="s">
        <v>92</v>
      </c>
      <c r="B13" s="40">
        <v>1.2</v>
      </c>
      <c r="D13" s="2"/>
      <c r="E13" s="2"/>
    </row>
    <row r="14" spans="1:5" ht="15.75" customHeight="1" x14ac:dyDescent="0.15">
      <c r="A14" s="1" t="s">
        <v>93</v>
      </c>
      <c r="B14" s="6">
        <f>B3/B13</f>
        <v>302672.00000000006</v>
      </c>
      <c r="D14" s="7" t="s">
        <v>94</v>
      </c>
      <c r="E14" s="36">
        <f ca="1">MIN(E6,E12)</f>
        <v>4154574.2543940837</v>
      </c>
    </row>
    <row r="15" spans="1:5" ht="15.75" customHeight="1" x14ac:dyDescent="0.15">
      <c r="A15" s="1" t="s">
        <v>95</v>
      </c>
      <c r="B15" s="38">
        <v>5.5E-2</v>
      </c>
    </row>
    <row r="16" spans="1:5" ht="15.75" customHeight="1" x14ac:dyDescent="0.15">
      <c r="A16" s="7" t="s">
        <v>96</v>
      </c>
      <c r="B16" s="6">
        <f>-PV(B15,B12,B14,0)</f>
        <v>4398957.7184338579</v>
      </c>
      <c r="D16" s="82" t="s">
        <v>97</v>
      </c>
      <c r="E16" s="80"/>
    </row>
    <row r="17" spans="1:5" ht="15.75" customHeight="1" x14ac:dyDescent="0.15">
      <c r="A17" s="2"/>
      <c r="B17" s="6"/>
      <c r="D17" s="41" t="s">
        <v>98</v>
      </c>
      <c r="E17" s="38">
        <v>7.4999999999999997E-3</v>
      </c>
    </row>
    <row r="18" spans="1:5" ht="15.75" customHeight="1" x14ac:dyDescent="0.15">
      <c r="A18" s="7" t="s">
        <v>99</v>
      </c>
      <c r="B18" s="36">
        <f>MIN(B16,B9)</f>
        <v>4398957.7184338579</v>
      </c>
      <c r="D18" s="41" t="s">
        <v>100</v>
      </c>
      <c r="E18" s="6">
        <f ca="1">E17*E14</f>
        <v>31159.306907955626</v>
      </c>
    </row>
    <row r="19" spans="1:5" ht="15.75" customHeight="1" x14ac:dyDescent="0.15">
      <c r="A19" s="2" t="s">
        <v>101</v>
      </c>
      <c r="B19" s="6">
        <f>-PMT(B15,B12,B18,0)</f>
        <v>302672.00000000006</v>
      </c>
      <c r="D19" s="41" t="s">
        <v>102</v>
      </c>
      <c r="E19" s="38">
        <v>7.4999999999999997E-3</v>
      </c>
    </row>
    <row r="20" spans="1:5" ht="15.75" customHeight="1" x14ac:dyDescent="0.15">
      <c r="D20" s="41" t="s">
        <v>102</v>
      </c>
      <c r="E20" s="6">
        <f>E19*B18</f>
        <v>32992.182888253934</v>
      </c>
    </row>
    <row r="25" spans="1:5" ht="15.75" customHeight="1" x14ac:dyDescent="0.15">
      <c r="A25" s="41"/>
    </row>
    <row r="26" spans="1:5" ht="15.75" customHeight="1" x14ac:dyDescent="0.15">
      <c r="A26" s="41"/>
    </row>
    <row r="27" spans="1:5" ht="15.75" customHeight="1" x14ac:dyDescent="0.15">
      <c r="A27" s="42"/>
    </row>
    <row r="28" spans="1:5" ht="15.75" customHeight="1" x14ac:dyDescent="0.15">
      <c r="B28" s="43"/>
    </row>
    <row r="29" spans="1:5" ht="15.75" customHeight="1" x14ac:dyDescent="0.15">
      <c r="B29" s="43"/>
    </row>
  </sheetData>
  <mergeCells count="4">
    <mergeCell ref="A1:E1"/>
    <mergeCell ref="D5:E5"/>
    <mergeCell ref="D8:E8"/>
    <mergeCell ref="D16:E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49"/>
  <sheetViews>
    <sheetView topLeftCell="P16" zoomScale="140" zoomScaleNormal="140" workbookViewId="0">
      <selection activeCell="B8" sqref="B8"/>
    </sheetView>
  </sheetViews>
  <sheetFormatPr baseColWidth="10" defaultColWidth="12.6640625" defaultRowHeight="15.75" customHeight="1" x14ac:dyDescent="0.15"/>
  <cols>
    <col min="1" max="1" width="42" customWidth="1"/>
    <col min="3" max="3" width="16.1640625" customWidth="1"/>
  </cols>
  <sheetData>
    <row r="1" spans="1:26" ht="15.75" customHeight="1" x14ac:dyDescent="0.15">
      <c r="A1" s="82" t="s">
        <v>103</v>
      </c>
      <c r="B1" s="80"/>
      <c r="C1" s="80"/>
    </row>
    <row r="3" spans="1:26" ht="15.75" customHeight="1" x14ac:dyDescent="0.15">
      <c r="A3" s="82" t="s">
        <v>104</v>
      </c>
      <c r="B3" s="80"/>
      <c r="C3" s="80"/>
    </row>
    <row r="4" spans="1:26" ht="15.75" customHeight="1" x14ac:dyDescent="0.15">
      <c r="B4" s="1" t="s">
        <v>105</v>
      </c>
      <c r="C4" s="1" t="s">
        <v>106</v>
      </c>
    </row>
    <row r="5" spans="1:26" ht="15.75" customHeight="1" x14ac:dyDescent="0.15">
      <c r="A5" s="1" t="s">
        <v>107</v>
      </c>
      <c r="B5" s="3">
        <v>2</v>
      </c>
      <c r="C5" s="2">
        <f>B5</f>
        <v>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6" ht="15.75" customHeight="1" x14ac:dyDescent="0.15">
      <c r="A6" s="1" t="s">
        <v>108</v>
      </c>
      <c r="B6" s="3">
        <v>6</v>
      </c>
      <c r="C6" s="2">
        <f t="shared" ref="C6:C9" si="0">B6+C5</f>
        <v>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6" ht="15.75" customHeight="1" x14ac:dyDescent="0.15">
      <c r="A7" s="1" t="s">
        <v>109</v>
      </c>
      <c r="B7" s="3">
        <v>10</v>
      </c>
      <c r="C7" s="2">
        <f t="shared" si="0"/>
        <v>18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6" ht="15.75" customHeight="1" x14ac:dyDescent="0.15">
      <c r="A8" s="1" t="s">
        <v>110</v>
      </c>
      <c r="B8" s="3">
        <v>3</v>
      </c>
      <c r="C8" s="2">
        <f t="shared" si="0"/>
        <v>21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6" ht="15.75" customHeight="1" x14ac:dyDescent="0.15">
      <c r="A9" s="1" t="s">
        <v>111</v>
      </c>
      <c r="B9" s="2"/>
      <c r="C9" s="2">
        <f t="shared" si="0"/>
        <v>21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6" ht="15.7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6" ht="15.75" customHeight="1" x14ac:dyDescent="0.15">
      <c r="A11" s="7" t="s">
        <v>112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6" ht="15.75" customHeight="1" x14ac:dyDescent="0.15">
      <c r="A12" s="1" t="s">
        <v>113</v>
      </c>
      <c r="B12" s="2">
        <f t="shared" ref="B12:Y12" si="1">ROUNDUP(B13/12,0)</f>
        <v>1</v>
      </c>
      <c r="C12" s="2">
        <f t="shared" si="1"/>
        <v>1</v>
      </c>
      <c r="D12" s="2">
        <f t="shared" si="1"/>
        <v>1</v>
      </c>
      <c r="E12" s="2">
        <f t="shared" si="1"/>
        <v>1</v>
      </c>
      <c r="F12" s="2">
        <f t="shared" si="1"/>
        <v>1</v>
      </c>
      <c r="G12" s="2">
        <f t="shared" si="1"/>
        <v>1</v>
      </c>
      <c r="H12" s="2">
        <f t="shared" si="1"/>
        <v>1</v>
      </c>
      <c r="I12" s="2">
        <f t="shared" si="1"/>
        <v>1</v>
      </c>
      <c r="J12" s="2">
        <f t="shared" si="1"/>
        <v>1</v>
      </c>
      <c r="K12" s="2">
        <f t="shared" si="1"/>
        <v>1</v>
      </c>
      <c r="L12" s="2">
        <f t="shared" si="1"/>
        <v>1</v>
      </c>
      <c r="M12" s="2">
        <f t="shared" si="1"/>
        <v>1</v>
      </c>
      <c r="N12" s="2">
        <f t="shared" si="1"/>
        <v>2</v>
      </c>
      <c r="O12" s="2">
        <f t="shared" si="1"/>
        <v>2</v>
      </c>
      <c r="P12" s="2">
        <f t="shared" si="1"/>
        <v>2</v>
      </c>
      <c r="Q12" s="2">
        <f t="shared" si="1"/>
        <v>2</v>
      </c>
      <c r="R12" s="2">
        <f t="shared" si="1"/>
        <v>2</v>
      </c>
      <c r="S12" s="2">
        <f t="shared" si="1"/>
        <v>2</v>
      </c>
      <c r="T12" s="2">
        <f t="shared" si="1"/>
        <v>2</v>
      </c>
      <c r="U12" s="2">
        <f t="shared" si="1"/>
        <v>2</v>
      </c>
      <c r="V12" s="2">
        <f t="shared" si="1"/>
        <v>2</v>
      </c>
      <c r="W12" s="2">
        <f t="shared" si="1"/>
        <v>2</v>
      </c>
      <c r="X12" s="2">
        <f t="shared" si="1"/>
        <v>2</v>
      </c>
      <c r="Y12" s="2">
        <f t="shared" si="1"/>
        <v>2</v>
      </c>
    </row>
    <row r="13" spans="1:26" ht="15.75" customHeight="1" x14ac:dyDescent="0.15">
      <c r="A13" s="1" t="s">
        <v>114</v>
      </c>
      <c r="B13" s="2">
        <v>1</v>
      </c>
      <c r="C13" s="2">
        <v>2</v>
      </c>
      <c r="D13" s="2">
        <v>3</v>
      </c>
      <c r="E13" s="2">
        <v>4</v>
      </c>
      <c r="F13" s="2">
        <v>5</v>
      </c>
      <c r="G13" s="2">
        <v>6</v>
      </c>
      <c r="H13" s="2">
        <v>7</v>
      </c>
      <c r="I13" s="2">
        <v>8</v>
      </c>
      <c r="J13" s="2">
        <v>9</v>
      </c>
      <c r="K13" s="2">
        <v>10</v>
      </c>
      <c r="L13" s="2">
        <v>11</v>
      </c>
      <c r="M13" s="2">
        <v>12</v>
      </c>
      <c r="N13" s="2">
        <v>13</v>
      </c>
      <c r="O13" s="2">
        <v>14</v>
      </c>
      <c r="P13" s="2">
        <v>15</v>
      </c>
      <c r="Q13" s="2">
        <v>16</v>
      </c>
      <c r="R13" s="2">
        <v>17</v>
      </c>
      <c r="S13" s="2">
        <v>18</v>
      </c>
      <c r="T13" s="2">
        <v>19</v>
      </c>
      <c r="U13" s="2">
        <v>20</v>
      </c>
      <c r="V13" s="2">
        <v>21</v>
      </c>
      <c r="W13" s="2">
        <v>22</v>
      </c>
      <c r="X13" s="2">
        <v>23</v>
      </c>
      <c r="Y13" s="2">
        <v>24</v>
      </c>
      <c r="Z13" s="41"/>
    </row>
    <row r="14" spans="1:26" ht="15.75" customHeight="1" x14ac:dyDescent="0.15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6" ht="15.75" customHeight="1" x14ac:dyDescent="0.15">
      <c r="A15" s="1" t="s">
        <v>115</v>
      </c>
      <c r="B15" s="6">
        <f>'Step 2 Operating Budget'!$B$24/'Step 1 Rent Roll'!$B$29/12</f>
        <v>1261.1333333333334</v>
      </c>
      <c r="C15" s="6">
        <f>'Step 2 Operating Budget'!$B$24/'Step 1 Rent Roll'!$B$29/12</f>
        <v>1261.1333333333334</v>
      </c>
      <c r="D15" s="6">
        <f>'Step 2 Operating Budget'!$B$24/'Step 1 Rent Roll'!$B$29/12</f>
        <v>1261.1333333333334</v>
      </c>
      <c r="E15" s="6">
        <f>'Step 2 Operating Budget'!$B$24/'Step 1 Rent Roll'!$B$29/12</f>
        <v>1261.1333333333334</v>
      </c>
      <c r="F15" s="6">
        <f>'Step 2 Operating Budget'!$B$24/'Step 1 Rent Roll'!$B$29/12</f>
        <v>1261.1333333333334</v>
      </c>
      <c r="G15" s="6">
        <f>'Step 2 Operating Budget'!$B$24/'Step 1 Rent Roll'!$B$29/12</f>
        <v>1261.1333333333334</v>
      </c>
      <c r="H15" s="6">
        <f>'Step 2 Operating Budget'!$B$24/'Step 1 Rent Roll'!$B$29/12</f>
        <v>1261.1333333333334</v>
      </c>
      <c r="I15" s="6">
        <f>'Step 2 Operating Budget'!$B$24/'Step 1 Rent Roll'!$B$29/12</f>
        <v>1261.1333333333334</v>
      </c>
      <c r="J15" s="6">
        <f>'Step 2 Operating Budget'!$B$24/'Step 1 Rent Roll'!$B$29/12</f>
        <v>1261.1333333333334</v>
      </c>
      <c r="K15" s="6">
        <f>'Step 2 Operating Budget'!$B$24/'Step 1 Rent Roll'!$B$29/12</f>
        <v>1261.1333333333334</v>
      </c>
      <c r="L15" s="6">
        <f>'Step 2 Operating Budget'!$B$24/'Step 1 Rent Roll'!$B$29/12</f>
        <v>1261.1333333333334</v>
      </c>
      <c r="M15" s="6">
        <f>'Step 2 Operating Budget'!$B$24/'Step 1 Rent Roll'!$B$29/12</f>
        <v>1261.1333333333334</v>
      </c>
      <c r="N15" s="6">
        <f>'Step 2 Operating Budget'!$B$24/'Step 1 Rent Roll'!$B$29/12</f>
        <v>1261.1333333333334</v>
      </c>
      <c r="O15" s="6">
        <f>'Step 2 Operating Budget'!$B$24/'Step 1 Rent Roll'!$B$29/12</f>
        <v>1261.1333333333334</v>
      </c>
      <c r="P15" s="6">
        <f>'Step 2 Operating Budget'!$B$24/'Step 1 Rent Roll'!$B$29/12</f>
        <v>1261.1333333333334</v>
      </c>
      <c r="Q15" s="6">
        <f>'Step 2 Operating Budget'!$B$24/'Step 1 Rent Roll'!$B$29/12</f>
        <v>1261.1333333333334</v>
      </c>
      <c r="R15" s="6">
        <f>'Step 2 Operating Budget'!$B$24/'Step 1 Rent Roll'!$B$29/12</f>
        <v>1261.1333333333334</v>
      </c>
      <c r="S15" s="6">
        <f>'Step 2 Operating Budget'!$B$24/'Step 1 Rent Roll'!$B$29/12</f>
        <v>1261.1333333333334</v>
      </c>
      <c r="T15" s="6">
        <f>'Step 2 Operating Budget'!$B$24/'Step 1 Rent Roll'!$B$29/12</f>
        <v>1261.1333333333334</v>
      </c>
      <c r="U15" s="6">
        <f>'Step 2 Operating Budget'!$B$24/'Step 1 Rent Roll'!$B$29/12</f>
        <v>1261.1333333333334</v>
      </c>
      <c r="V15" s="6">
        <f>'Step 2 Operating Budget'!$B$24/'Step 1 Rent Roll'!$B$29/12</f>
        <v>1261.1333333333334</v>
      </c>
      <c r="W15" s="6">
        <f>'Step 2 Operating Budget'!$B$24/'Step 1 Rent Roll'!$B$29/12</f>
        <v>1261.1333333333334</v>
      </c>
      <c r="X15" s="6">
        <f>'Step 2 Operating Budget'!$B$24/'Step 1 Rent Roll'!$B$29/12</f>
        <v>1261.1333333333334</v>
      </c>
      <c r="Y15" s="6">
        <f>'Step 2 Operating Budget'!$B$24/'Step 1 Rent Roll'!$B$29/12</f>
        <v>1261.1333333333334</v>
      </c>
    </row>
    <row r="16" spans="1:26" ht="15.75" customHeight="1" x14ac:dyDescent="0.15">
      <c r="A16" s="1" t="s">
        <v>116</v>
      </c>
      <c r="B16" s="2" cm="1">
        <f t="array" ref="B16">_xlfn.IFS(B13&lt;$C$7,0,AND(B13&gt;=$C$7,B13&lt;$C$8),MIN(ROUND('Step 1 Rent Roll'!$B$29,0),A16+'Step 1 Rent Roll'!$B$29/$B$8),B13&gt;=$C$8,'Step 1 Rent Roll'!$B$29)</f>
        <v>0</v>
      </c>
      <c r="C16" s="2" cm="1">
        <f t="array" ref="C16">_xlfn.IFS(C13&lt;$C$7,0,AND(C13&gt;=$C$7,C13&lt;$C$8),MIN(ROUND('Step 1 Rent Roll'!$B$29,0),B16+'Step 1 Rent Roll'!$B$29/$B$8),C13&gt;=$C$8,'Step 1 Rent Roll'!$B$29)</f>
        <v>0</v>
      </c>
      <c r="D16" s="2" cm="1">
        <f t="array" ref="D16">_xlfn.IFS(D13&lt;$C$7,0,AND(D13&gt;=$C$7,D13&lt;$C$8),MIN(ROUND('Step 1 Rent Roll'!$B$29,0),C16+'Step 1 Rent Roll'!$B$29/$B$8),D13&gt;=$C$8,'Step 1 Rent Roll'!$B$29)</f>
        <v>0</v>
      </c>
      <c r="E16" s="2" cm="1">
        <f t="array" ref="E16">_xlfn.IFS(E13&lt;$C$7,0,AND(E13&gt;=$C$7,E13&lt;$C$8),MIN(ROUND('Step 1 Rent Roll'!$B$29,0),D16+'Step 1 Rent Roll'!$B$29/$B$8),E13&gt;=$C$8,'Step 1 Rent Roll'!$B$29)</f>
        <v>0</v>
      </c>
      <c r="F16" s="2" cm="1">
        <f t="array" ref="F16">_xlfn.IFS(F13&lt;$C$7,0,AND(F13&gt;=$C$7,F13&lt;$C$8),MIN(ROUND('Step 1 Rent Roll'!$B$29,0),E16+'Step 1 Rent Roll'!$B$29/$B$8),F13&gt;=$C$8,'Step 1 Rent Roll'!$B$29)</f>
        <v>0</v>
      </c>
      <c r="G16" s="2" cm="1">
        <f t="array" ref="G16">_xlfn.IFS(G13&lt;$C$7,0,AND(G13&gt;=$C$7,G13&lt;$C$8),MIN(ROUND('Step 1 Rent Roll'!$B$29,0),F16+'Step 1 Rent Roll'!$B$29/$B$8),G13&gt;=$C$8,'Step 1 Rent Roll'!$B$29)</f>
        <v>0</v>
      </c>
      <c r="H16" s="2" cm="1">
        <f t="array" ref="H16">_xlfn.IFS(H13&lt;$C$7,0,AND(H13&gt;=$C$7,H13&lt;$C$8),MIN(ROUND('Step 1 Rent Roll'!$B$29,0),G16+'Step 1 Rent Roll'!$B$29/$B$8),H13&gt;=$C$8,'Step 1 Rent Roll'!$B$29)</f>
        <v>0</v>
      </c>
      <c r="I16" s="2" cm="1">
        <f t="array" ref="I16">_xlfn.IFS(I13&lt;$C$7,0,AND(I13&gt;=$C$7,I13&lt;$C$8),MIN(ROUND('Step 1 Rent Roll'!$B$29,0),H16+'Step 1 Rent Roll'!$B$29/$B$8),I13&gt;=$C$8,'Step 1 Rent Roll'!$B$29)</f>
        <v>0</v>
      </c>
      <c r="J16" s="2" cm="1">
        <f t="array" ref="J16">_xlfn.IFS(J13&lt;$C$7,0,AND(J13&gt;=$C$7,J13&lt;$C$8),MIN(ROUND('Step 1 Rent Roll'!$B$29,0),I16+'Step 1 Rent Roll'!$B$29/$B$8),J13&gt;=$C$8,'Step 1 Rent Roll'!$B$29)</f>
        <v>0</v>
      </c>
      <c r="K16" s="2" cm="1">
        <f t="array" ref="K16">_xlfn.IFS(K13&lt;$C$7,0,AND(K13&gt;=$C$7,K13&lt;$C$8),MIN(ROUND('Step 1 Rent Roll'!$B$29,0),J16+'Step 1 Rent Roll'!$B$29/$B$8),K13&gt;=$C$8,'Step 1 Rent Roll'!$B$29)</f>
        <v>0</v>
      </c>
      <c r="L16" s="2" cm="1">
        <f t="array" ref="L16">_xlfn.IFS(L13&lt;$C$7,0,AND(L13&gt;=$C$7,L13&lt;$C$8),MIN(ROUND('Step 1 Rent Roll'!$B$29,0),K16+'Step 1 Rent Roll'!$B$29/$B$8),L13&gt;=$C$8,'Step 1 Rent Roll'!$B$29)</f>
        <v>0</v>
      </c>
      <c r="M16" s="2" cm="1">
        <f t="array" ref="M16">_xlfn.IFS(M13&lt;$C$7,0,AND(M13&gt;=$C$7,M13&lt;$C$8),MIN(ROUND('Step 1 Rent Roll'!$B$29,0),L16+'Step 1 Rent Roll'!$B$29/$B$8),M13&gt;=$C$8,'Step 1 Rent Roll'!$B$29)</f>
        <v>0</v>
      </c>
      <c r="N16" s="2" cm="1">
        <f t="array" ref="N16">_xlfn.IFS(N13&lt;$C$7,0,AND(N13&gt;=$C$7,N13&lt;$C$8),MIN(ROUND('Step 1 Rent Roll'!$B$29,0),M16+'Step 1 Rent Roll'!$B$29/$B$8),N13&gt;=$C$8,'Step 1 Rent Roll'!$B$29)</f>
        <v>0</v>
      </c>
      <c r="O16" s="2" cm="1">
        <f t="array" ref="O16">_xlfn.IFS(O13&lt;$C$7,0,AND(O13&gt;=$C$7,O13&lt;$C$8),MIN(ROUND('Step 1 Rent Roll'!$B$29,0),N16+'Step 1 Rent Roll'!$B$29/$B$8),O13&gt;=$C$8,'Step 1 Rent Roll'!$B$29)</f>
        <v>0</v>
      </c>
      <c r="P16" s="2" cm="1">
        <f t="array" ref="P16">_xlfn.IFS(P13&lt;$C$7,0,AND(P13&gt;=$C$7,P13&lt;$C$8),MIN(ROUND('Step 1 Rent Roll'!$B$29,0),O16+'Step 1 Rent Roll'!$B$29/$B$8),P13&gt;=$C$8,'Step 1 Rent Roll'!$B$29)</f>
        <v>0</v>
      </c>
      <c r="Q16" s="2" cm="1">
        <f t="array" ref="Q16">_xlfn.IFS(Q13&lt;$C$7,0,AND(Q13&gt;=$C$7,Q13&lt;$C$8),MIN(ROUND('Step 1 Rent Roll'!$B$29,0),P16+'Step 1 Rent Roll'!$B$29/$B$8),Q13&gt;=$C$8,'Step 1 Rent Roll'!$B$29)</f>
        <v>0</v>
      </c>
      <c r="R16" s="2" cm="1">
        <f t="array" ref="R16">_xlfn.IFS(R13&lt;$C$7,0,AND(R13&gt;=$C$7,R13&lt;$C$8),MIN(ROUND('Step 1 Rent Roll'!$B$29,0),Q16+'Step 1 Rent Roll'!$B$29/$B$8),R13&gt;=$C$8,'Step 1 Rent Roll'!$B$29)</f>
        <v>0</v>
      </c>
      <c r="S16" s="2" cm="1">
        <f t="array" ref="S16">_xlfn.IFS(S13&lt;$C$7,0,AND(S13&gt;=$C$7,S13&lt;$C$8),MIN(ROUND('Step 1 Rent Roll'!$B$29,0),R16+'Step 1 Rent Roll'!$B$29/$B$8),S13&gt;=$C$8,'Step 1 Rent Roll'!$B$29)</f>
        <v>8</v>
      </c>
      <c r="T16" s="2" cm="1">
        <f t="array" ref="T16">_xlfn.IFS(T13&lt;$C$7,0,AND(T13&gt;=$C$7,T13&lt;$C$8),MIN(ROUND('Step 1 Rent Roll'!$B$29,0),S16+'Step 1 Rent Roll'!$B$29/$B$8),T13&gt;=$C$8,'Step 1 Rent Roll'!$B$29)</f>
        <v>16</v>
      </c>
      <c r="U16" s="2" cm="1">
        <f t="array" ref="U16">_xlfn.IFS(U13&lt;$C$7,0,AND(U13&gt;=$C$7,U13&lt;$C$8),MIN(ROUND('Step 1 Rent Roll'!$B$29,0),T16+'Step 1 Rent Roll'!$B$29/$B$8),U13&gt;=$C$8,'Step 1 Rent Roll'!$B$29)</f>
        <v>24</v>
      </c>
      <c r="V16" s="2" cm="1">
        <f t="array" ref="V16">_xlfn.IFS(V13&lt;$C$7,0,AND(V13&gt;=$C$7,V13&lt;$C$8),MIN(ROUND('Step 1 Rent Roll'!$B$29,0),U16+'Step 1 Rent Roll'!$B$29/$B$8),V13&gt;=$C$8,'Step 1 Rent Roll'!$B$29)</f>
        <v>24</v>
      </c>
      <c r="W16" s="2" cm="1">
        <f t="array" ref="W16">_xlfn.IFS(W13&lt;$C$7,0,AND(W13&gt;=$C$7,W13&lt;$C$8),MIN(ROUND('Step 1 Rent Roll'!$B$29,0),V16+'Step 1 Rent Roll'!$B$29/$B$8),W13&gt;=$C$8,'Step 1 Rent Roll'!$B$29)</f>
        <v>24</v>
      </c>
      <c r="X16" s="2" cm="1">
        <f t="array" ref="X16">_xlfn.IFS(X13&lt;$C$7,0,AND(X13&gt;=$C$7,X13&lt;$C$8),MIN(ROUND('Step 1 Rent Roll'!$B$29,0),W16+'Step 1 Rent Roll'!$B$29/$B$8),X13&gt;=$C$8,'Step 1 Rent Roll'!$B$29)</f>
        <v>24</v>
      </c>
      <c r="Y16" s="2" cm="1">
        <f t="array" ref="Y16">_xlfn.IFS(Y13&lt;$C$7,0,AND(Y13&gt;=$C$7,Y13&lt;$C$8),MIN(ROUND('Step 1 Rent Roll'!$B$29,0),X16+'Step 1 Rent Roll'!$B$29/$B$8),Y13&gt;=$C$8,'Step 1 Rent Roll'!$B$29)</f>
        <v>24</v>
      </c>
    </row>
    <row r="17" spans="1:25" ht="15.75" customHeight="1" x14ac:dyDescent="0.15">
      <c r="A17" s="1" t="s">
        <v>117</v>
      </c>
      <c r="B17" s="6">
        <f t="shared" ref="B17:Y17" si="2">B15*B16</f>
        <v>0</v>
      </c>
      <c r="C17" s="6">
        <f t="shared" si="2"/>
        <v>0</v>
      </c>
      <c r="D17" s="6">
        <f t="shared" si="2"/>
        <v>0</v>
      </c>
      <c r="E17" s="6">
        <f t="shared" si="2"/>
        <v>0</v>
      </c>
      <c r="F17" s="6">
        <f t="shared" si="2"/>
        <v>0</v>
      </c>
      <c r="G17" s="6">
        <f t="shared" si="2"/>
        <v>0</v>
      </c>
      <c r="H17" s="6">
        <f t="shared" si="2"/>
        <v>0</v>
      </c>
      <c r="I17" s="6">
        <f t="shared" si="2"/>
        <v>0</v>
      </c>
      <c r="J17" s="6">
        <f t="shared" si="2"/>
        <v>0</v>
      </c>
      <c r="K17" s="6">
        <f t="shared" si="2"/>
        <v>0</v>
      </c>
      <c r="L17" s="6">
        <f t="shared" si="2"/>
        <v>0</v>
      </c>
      <c r="M17" s="6">
        <f t="shared" si="2"/>
        <v>0</v>
      </c>
      <c r="N17" s="6">
        <f t="shared" si="2"/>
        <v>0</v>
      </c>
      <c r="O17" s="6">
        <f t="shared" si="2"/>
        <v>0</v>
      </c>
      <c r="P17" s="6">
        <f t="shared" si="2"/>
        <v>0</v>
      </c>
      <c r="Q17" s="6">
        <f t="shared" si="2"/>
        <v>0</v>
      </c>
      <c r="R17" s="6">
        <f t="shared" si="2"/>
        <v>0</v>
      </c>
      <c r="S17" s="6">
        <f t="shared" si="2"/>
        <v>10089.066666666668</v>
      </c>
      <c r="T17" s="6">
        <f t="shared" si="2"/>
        <v>20178.133333333335</v>
      </c>
      <c r="U17" s="6">
        <f t="shared" si="2"/>
        <v>30267.200000000004</v>
      </c>
      <c r="V17" s="6">
        <f t="shared" si="2"/>
        <v>30267.200000000004</v>
      </c>
      <c r="W17" s="6">
        <f t="shared" si="2"/>
        <v>30267.200000000004</v>
      </c>
      <c r="X17" s="6">
        <f t="shared" si="2"/>
        <v>30267.200000000004</v>
      </c>
      <c r="Y17" s="6">
        <f t="shared" si="2"/>
        <v>30267.200000000004</v>
      </c>
    </row>
    <row r="18" spans="1:25" ht="15.75" customHeight="1" x14ac:dyDescent="0.15">
      <c r="A18" s="1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customHeight="1" x14ac:dyDescent="0.15">
      <c r="A19" s="1" t="s">
        <v>118</v>
      </c>
      <c r="B19" s="6" t="str">
        <f t="shared" ref="B19:Y19" si="3">"-"</f>
        <v>-</v>
      </c>
      <c r="C19" s="6" t="str">
        <f t="shared" si="3"/>
        <v>-</v>
      </c>
      <c r="D19" s="6" t="str">
        <f t="shared" si="3"/>
        <v>-</v>
      </c>
      <c r="E19" s="6" t="str">
        <f t="shared" si="3"/>
        <v>-</v>
      </c>
      <c r="F19" s="6" t="str">
        <f t="shared" si="3"/>
        <v>-</v>
      </c>
      <c r="G19" s="6" t="str">
        <f t="shared" si="3"/>
        <v>-</v>
      </c>
      <c r="H19" s="6" t="str">
        <f t="shared" si="3"/>
        <v>-</v>
      </c>
      <c r="I19" s="6" t="str">
        <f t="shared" si="3"/>
        <v>-</v>
      </c>
      <c r="J19" s="6" t="str">
        <f t="shared" si="3"/>
        <v>-</v>
      </c>
      <c r="K19" s="6" t="str">
        <f t="shared" si="3"/>
        <v>-</v>
      </c>
      <c r="L19" s="6" t="str">
        <f t="shared" si="3"/>
        <v>-</v>
      </c>
      <c r="M19" s="6" t="str">
        <f t="shared" si="3"/>
        <v>-</v>
      </c>
      <c r="N19" s="6" t="str">
        <f t="shared" si="3"/>
        <v>-</v>
      </c>
      <c r="O19" s="6" t="str">
        <f t="shared" si="3"/>
        <v>-</v>
      </c>
      <c r="P19" s="6" t="str">
        <f t="shared" si="3"/>
        <v>-</v>
      </c>
      <c r="Q19" s="6" t="str">
        <f t="shared" si="3"/>
        <v>-</v>
      </c>
      <c r="R19" s="6" t="str">
        <f t="shared" si="3"/>
        <v>-</v>
      </c>
      <c r="S19" s="6" t="str">
        <f t="shared" si="3"/>
        <v>-</v>
      </c>
      <c r="T19" s="6" t="str">
        <f t="shared" si="3"/>
        <v>-</v>
      </c>
      <c r="U19" s="6" t="str">
        <f t="shared" si="3"/>
        <v>-</v>
      </c>
      <c r="V19" s="6" t="str">
        <f t="shared" si="3"/>
        <v>-</v>
      </c>
      <c r="W19" s="6" t="str">
        <f t="shared" si="3"/>
        <v>-</v>
      </c>
      <c r="X19" s="6" t="str">
        <f t="shared" si="3"/>
        <v>-</v>
      </c>
      <c r="Y19" s="6" t="str">
        <f t="shared" si="3"/>
        <v>-</v>
      </c>
    </row>
    <row r="20" spans="1:25" ht="15.75" customHeight="1" x14ac:dyDescent="0.15">
      <c r="A20" s="1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customHeight="1" x14ac:dyDescent="0.15">
      <c r="A21" s="1" t="s">
        <v>119</v>
      </c>
      <c r="B21" s="6">
        <f>-IF(B13=$C$5,'Step 4 Budget'!$C$5,0)</f>
        <v>0</v>
      </c>
      <c r="C21" s="6">
        <f>-IF(C13=$C$5,'Step 4 Budget'!$C$5,0)</f>
        <v>-150000</v>
      </c>
      <c r="D21" s="6">
        <f>-IF(D13=$C$5,'Step 4 Budget'!$C$5,0)</f>
        <v>0</v>
      </c>
      <c r="E21" s="6">
        <f>-IF(E13=$C$5,'Step 4 Budget'!$C$5,0)</f>
        <v>0</v>
      </c>
      <c r="F21" s="6">
        <f>-IF(F13=$C$5,'Step 4 Budget'!$C$5,0)</f>
        <v>0</v>
      </c>
      <c r="G21" s="6">
        <f>-IF(G13=$C$5,'Step 4 Budget'!$C$5,0)</f>
        <v>0</v>
      </c>
      <c r="H21" s="6">
        <f>-IF(H13=$C$5,'Step 4 Budget'!$C$5,0)</f>
        <v>0</v>
      </c>
      <c r="I21" s="6">
        <f>-IF(I13=$C$5,'Step 4 Budget'!$C$5,0)</f>
        <v>0</v>
      </c>
      <c r="J21" s="6">
        <f>-IF(J13=$C$5,'Step 4 Budget'!$C$5,0)</f>
        <v>0</v>
      </c>
      <c r="K21" s="6">
        <f>-IF(K13=$C$5,'Step 4 Budget'!$C$5,0)</f>
        <v>0</v>
      </c>
      <c r="L21" s="6">
        <f>-IF(L13=$C$5,'Step 4 Budget'!$C$5,0)</f>
        <v>0</v>
      </c>
      <c r="M21" s="6">
        <f>-IF(M13=$C$5,'Step 4 Budget'!$C$5,0)</f>
        <v>0</v>
      </c>
      <c r="N21" s="6">
        <f>-IF(N13=$C$5,'Step 4 Budget'!$C$5,0)</f>
        <v>0</v>
      </c>
      <c r="O21" s="6">
        <f>-IF(O13=$C$5,'Step 4 Budget'!$C$5,0)</f>
        <v>0</v>
      </c>
      <c r="P21" s="6">
        <f>-IF(P13=$C$5,'Step 4 Budget'!$C$5,0)</f>
        <v>0</v>
      </c>
      <c r="Q21" s="6">
        <f>-IF(Q13=$C$5,'Step 4 Budget'!$C$5,0)</f>
        <v>0</v>
      </c>
      <c r="R21" s="6">
        <f>-IF(R13=$C$5,'Step 4 Budget'!$C$5,0)</f>
        <v>0</v>
      </c>
      <c r="S21" s="6">
        <f>-IF(S13=$C$5,'Step 4 Budget'!$C$5,0)</f>
        <v>0</v>
      </c>
      <c r="T21" s="6">
        <f>-IF(T13=$C$5,'Step 4 Budget'!$C$5,0)</f>
        <v>0</v>
      </c>
      <c r="U21" s="6">
        <f>-IF(U13=$C$5,'Step 4 Budget'!$C$5,0)</f>
        <v>0</v>
      </c>
      <c r="V21" s="6">
        <f>-IF(V13=$C$5,'Step 4 Budget'!$C$5,0)</f>
        <v>0</v>
      </c>
      <c r="W21" s="6">
        <f>-IF(W13=$C$5,'Step 4 Budget'!$C$5,0)</f>
        <v>0</v>
      </c>
      <c r="X21" s="6">
        <f>-IF(X13=$C$5,'Step 4 Budget'!$C$5,0)</f>
        <v>0</v>
      </c>
      <c r="Y21" s="6">
        <f>-IF(Y13=$C$5,'Step 4 Budget'!$C$5,0)</f>
        <v>0</v>
      </c>
    </row>
    <row r="22" spans="1:25" ht="15.75" customHeight="1" x14ac:dyDescent="0.15">
      <c r="A22" s="1" t="s">
        <v>48</v>
      </c>
      <c r="B22" s="6">
        <f>-IF(B13=$C$5,'Step 4 Budget'!$C$6,0)</f>
        <v>0</v>
      </c>
      <c r="C22" s="6">
        <f>-IF(C13=$C$5,'Step 4 Budget'!$C$6,0)</f>
        <v>-3000</v>
      </c>
      <c r="D22" s="6">
        <f>-IF(D13=$C$5,'Step 4 Budget'!$C$6,0)</f>
        <v>0</v>
      </c>
      <c r="E22" s="6">
        <f>-IF(E13=$C$5,'Step 4 Budget'!$C$6,0)</f>
        <v>0</v>
      </c>
      <c r="F22" s="6">
        <f>-IF(F13=$C$5,'Step 4 Budget'!$C$6,0)</f>
        <v>0</v>
      </c>
      <c r="G22" s="6">
        <f>-IF(G13=$C$5,'Step 4 Budget'!$C$6,0)</f>
        <v>0</v>
      </c>
      <c r="H22" s="6">
        <f>-IF(H13=$C$5,'Step 4 Budget'!$C$6,0)</f>
        <v>0</v>
      </c>
      <c r="I22" s="6">
        <f>-IF(I13=$C$5,'Step 4 Budget'!$C$6,0)</f>
        <v>0</v>
      </c>
      <c r="J22" s="6">
        <f>-IF(J13=$C$5,'Step 4 Budget'!$C$6,0)</f>
        <v>0</v>
      </c>
      <c r="K22" s="6">
        <f>-IF(K13=$C$5,'Step 4 Budget'!$C$6,0)</f>
        <v>0</v>
      </c>
      <c r="L22" s="6">
        <f>-IF(L13=$C$5,'Step 4 Budget'!$C$6,0)</f>
        <v>0</v>
      </c>
      <c r="M22" s="6">
        <f>-IF(M13=$C$5,'Step 4 Budget'!$C$6,0)</f>
        <v>0</v>
      </c>
      <c r="N22" s="6">
        <f>-IF(N13=$C$5,'Step 4 Budget'!$C$6,0)</f>
        <v>0</v>
      </c>
      <c r="O22" s="6">
        <f>-IF(O13=$C$5,'Step 4 Budget'!$C$6,0)</f>
        <v>0</v>
      </c>
      <c r="P22" s="6">
        <f>-IF(P13=$C$5,'Step 4 Budget'!$C$6,0)</f>
        <v>0</v>
      </c>
      <c r="Q22" s="6">
        <f>-IF(Q13=$C$5,'Step 4 Budget'!$C$6,0)</f>
        <v>0</v>
      </c>
      <c r="R22" s="6">
        <f>-IF(R13=$C$5,'Step 4 Budget'!$C$6,0)</f>
        <v>0</v>
      </c>
      <c r="S22" s="6">
        <f>-IF(S13=$C$5,'Step 4 Budget'!$C$6,0)</f>
        <v>0</v>
      </c>
      <c r="T22" s="6">
        <f>-IF(T13=$C$5,'Step 4 Budget'!$C$6,0)</f>
        <v>0</v>
      </c>
      <c r="U22" s="6">
        <f>-IF(U13=$C$5,'Step 4 Budget'!$C$6,0)</f>
        <v>0</v>
      </c>
      <c r="V22" s="6">
        <f>-IF(V13=$C$5,'Step 4 Budget'!$C$6,0)</f>
        <v>0</v>
      </c>
      <c r="W22" s="6">
        <f>-IF(W13=$C$5,'Step 4 Budget'!$C$6,0)</f>
        <v>0</v>
      </c>
      <c r="X22" s="6">
        <f>-IF(X13=$C$5,'Step 4 Budget'!$C$6,0)</f>
        <v>0</v>
      </c>
      <c r="Y22" s="6">
        <f>-IF(Y13=$C$5,'Step 4 Budget'!$C$6,0)</f>
        <v>0</v>
      </c>
    </row>
    <row r="23" spans="1:25" ht="15.75" customHeight="1" x14ac:dyDescent="0.15">
      <c r="A23" s="1" t="s">
        <v>62</v>
      </c>
      <c r="B23" s="6">
        <f>-IF(B13&lt;=$C$7,'Step 4 Budget'!$C$34/$C$7,0)</f>
        <v>-49133.333333333336</v>
      </c>
      <c r="C23" s="6">
        <f>-IF(C13&lt;=$C$7,'Step 4 Budget'!$C$34/$C$7,0)</f>
        <v>-49133.333333333336</v>
      </c>
      <c r="D23" s="6">
        <f>-IF(D13&lt;=$C$7,'Step 4 Budget'!$C$34/$C$7,0)</f>
        <v>-49133.333333333336</v>
      </c>
      <c r="E23" s="6">
        <f>-IF(E13&lt;=$C$7,'Step 4 Budget'!$C$34/$C$7,0)</f>
        <v>-49133.333333333336</v>
      </c>
      <c r="F23" s="6">
        <f>-IF(F13&lt;=$C$7,'Step 4 Budget'!$C$34/$C$7,0)</f>
        <v>-49133.333333333336</v>
      </c>
      <c r="G23" s="6">
        <f>-IF(G13&lt;=$C$7,'Step 4 Budget'!$C$34/$C$7,0)</f>
        <v>-49133.333333333336</v>
      </c>
      <c r="H23" s="6">
        <f>-IF(H13&lt;=$C$7,'Step 4 Budget'!$C$34/$C$7,0)</f>
        <v>-49133.333333333336</v>
      </c>
      <c r="I23" s="6">
        <f>-IF(I13&lt;=$C$7,'Step 4 Budget'!$C$34/$C$7,0)</f>
        <v>-49133.333333333336</v>
      </c>
      <c r="J23" s="6">
        <f>-IF(J13&lt;=$C$7,'Step 4 Budget'!$C$34/$C$7,0)</f>
        <v>-49133.333333333336</v>
      </c>
      <c r="K23" s="6">
        <f>-IF(K13&lt;=$C$7,'Step 4 Budget'!$C$34/$C$7,0)</f>
        <v>-49133.333333333336</v>
      </c>
      <c r="L23" s="6">
        <f>-IF(L13&lt;=$C$7,'Step 4 Budget'!$C$34/$C$7,0)</f>
        <v>-49133.333333333336</v>
      </c>
      <c r="M23" s="6">
        <f>-IF(M13&lt;=$C$7,'Step 4 Budget'!$C$34/$C$7,0)</f>
        <v>-49133.333333333336</v>
      </c>
      <c r="N23" s="6">
        <f>-IF(N13&lt;=$C$7,'Step 4 Budget'!$C$34/$C$7,0)</f>
        <v>-49133.333333333336</v>
      </c>
      <c r="O23" s="6">
        <f>-IF(O13&lt;=$C$7,'Step 4 Budget'!$C$34/$C$7,0)</f>
        <v>-49133.333333333336</v>
      </c>
      <c r="P23" s="6">
        <f>-IF(P13&lt;=$C$7,'Step 4 Budget'!$C$34/$C$7,0)</f>
        <v>-49133.333333333336</v>
      </c>
      <c r="Q23" s="6">
        <f>-IF(Q13&lt;=$C$7,'Step 4 Budget'!$C$34/$C$7,0)</f>
        <v>-49133.333333333336</v>
      </c>
      <c r="R23" s="6">
        <f>-IF(R13&lt;=$C$7,'Step 4 Budget'!$C$34/$C$7,0)</f>
        <v>-49133.333333333336</v>
      </c>
      <c r="S23" s="6">
        <f>-IF(S13&lt;=$C$7,'Step 4 Budget'!$C$34/$C$7,0)</f>
        <v>-49133.333333333336</v>
      </c>
      <c r="T23" s="6">
        <f>-IF(T13&lt;=$C$7,'Step 4 Budget'!$C$34/$C$7,0)</f>
        <v>0</v>
      </c>
      <c r="U23" s="6">
        <f>-IF(U13&lt;=$C$7,'Step 4 Budget'!$C$34/$C$7,0)</f>
        <v>0</v>
      </c>
      <c r="V23" s="6">
        <f>-IF(V13&lt;=$C$7,'Step 4 Budget'!$C$34/$C$7,0)</f>
        <v>0</v>
      </c>
      <c r="W23" s="6">
        <f>-IF(W13&lt;=$C$7,'Step 4 Budget'!$C$34/$C$7,0)</f>
        <v>0</v>
      </c>
      <c r="X23" s="6">
        <f>-IF(X13&lt;=$C$7,'Step 4 Budget'!$C$34/$C$7,0)</f>
        <v>0</v>
      </c>
      <c r="Y23" s="6">
        <f>-IF(Y13&lt;=$C$7,'Step 4 Budget'!$C$34/$C$7,0)</f>
        <v>0</v>
      </c>
    </row>
    <row r="24" spans="1:25" ht="15.75" customHeight="1" x14ac:dyDescent="0.15">
      <c r="A24" s="1" t="s">
        <v>50</v>
      </c>
      <c r="B24" s="6">
        <f>-IF(AND(B13&gt;$C$6,B13&lt;=$C$7),'Step 4 Budget'!$C$16/$B$7,0)</f>
        <v>0</v>
      </c>
      <c r="C24" s="6">
        <f>-IF(AND(C13&gt;$C$6,C13&lt;=$C$7),'Step 4 Budget'!$C$16/$B$7,0)</f>
        <v>0</v>
      </c>
      <c r="D24" s="6">
        <f>-IF(AND(D13&gt;$C$6,D13&lt;=$C$7),'Step 4 Budget'!$C$16/$B$7,0)</f>
        <v>0</v>
      </c>
      <c r="E24" s="6">
        <f>-IF(AND(E13&gt;$C$6,E13&lt;=$C$7),'Step 4 Budget'!$C$16/$B$7,0)</f>
        <v>0</v>
      </c>
      <c r="F24" s="6">
        <f>-IF(AND(F13&gt;$C$6,F13&lt;=$C$7),'Step 4 Budget'!$C$16/$B$7,0)</f>
        <v>0</v>
      </c>
      <c r="G24" s="6">
        <f>-IF(AND(G13&gt;$C$6,G13&lt;=$C$7),'Step 4 Budget'!$C$16/$B$7,0)</f>
        <v>0</v>
      </c>
      <c r="H24" s="6">
        <f>-IF(AND(H13&gt;$C$6,H13&lt;=$C$7),'Step 4 Budget'!$C$16/$B$7,0)</f>
        <v>0</v>
      </c>
      <c r="I24" s="6">
        <f>-IF(AND(I13&gt;$C$6,I13&lt;=$C$7),'Step 4 Budget'!$C$16/$B$7,0)</f>
        <v>0</v>
      </c>
      <c r="J24" s="6">
        <f>-IF(AND(J13&gt;$C$6,J13&lt;=$C$7),'Step 4 Budget'!$C$16/$B$7,0)</f>
        <v>-474360</v>
      </c>
      <c r="K24" s="6">
        <f>-IF(AND(K13&gt;$C$6,K13&lt;=$C$7),'Step 4 Budget'!$C$16/$B$7,0)</f>
        <v>-474360</v>
      </c>
      <c r="L24" s="6">
        <f>-IF(AND(L13&gt;$C$6,L13&lt;=$C$7),'Step 4 Budget'!$C$16/$B$7,0)</f>
        <v>-474360</v>
      </c>
      <c r="M24" s="6">
        <f>-IF(AND(M13&gt;$C$6,M13&lt;=$C$7),'Step 4 Budget'!$C$16/$B$7,0)</f>
        <v>-474360</v>
      </c>
      <c r="N24" s="6">
        <f>-IF(AND(N13&gt;$C$6,N13&lt;=$C$7),'Step 4 Budget'!$C$16/$B$7,0)</f>
        <v>-474360</v>
      </c>
      <c r="O24" s="6">
        <f>-IF(AND(O13&gt;$C$6,O13&lt;=$C$7),'Step 4 Budget'!$C$16/$B$7,0)</f>
        <v>-474360</v>
      </c>
      <c r="P24" s="6">
        <f>-IF(AND(P13&gt;$C$6,P13&lt;=$C$7),'Step 4 Budget'!$C$16/$B$7,0)</f>
        <v>-474360</v>
      </c>
      <c r="Q24" s="6">
        <f>-IF(AND(Q13&gt;$C$6,Q13&lt;=$C$7),'Step 4 Budget'!$C$16/$B$7,0)</f>
        <v>-474360</v>
      </c>
      <c r="R24" s="6">
        <f>-IF(AND(R13&gt;$C$6,R13&lt;=$C$7),'Step 4 Budget'!$C$16/$B$7,0)</f>
        <v>-474360</v>
      </c>
      <c r="S24" s="6">
        <f>-IF(AND(S13&gt;$C$6,S13&lt;=$C$7),'Step 4 Budget'!$C$16/$B$7,0)</f>
        <v>-474360</v>
      </c>
      <c r="T24" s="6">
        <f>-IF(AND(T13&gt;$C$6,T13&lt;=$C$7),'Step 4 Budget'!$C$16/$B$7,0)</f>
        <v>0</v>
      </c>
      <c r="U24" s="6">
        <f>-IF(AND(U13&gt;$C$6,U13&lt;=$C$7),'Step 4 Budget'!$C$16/$B$7,0)</f>
        <v>0</v>
      </c>
      <c r="V24" s="6">
        <f>-IF(AND(V13&gt;$C$6,V13&lt;=$C$7),'Step 4 Budget'!$C$16/$B$7,0)</f>
        <v>0</v>
      </c>
      <c r="W24" s="6">
        <f>-IF(AND(W13&gt;$C$6,W13&lt;=$C$7),'Step 4 Budget'!$C$16/$B$7,0)</f>
        <v>0</v>
      </c>
      <c r="X24" s="6">
        <f>-IF(AND(X13&gt;$C$6,X13&lt;=$C$7),'Step 4 Budget'!$C$16/$B$7,0)</f>
        <v>0</v>
      </c>
      <c r="Y24" s="6">
        <f>-IF(AND(Y13&gt;$C$6,Y13&lt;=$C$7),'Step 4 Budget'!$C$16/$B$7,0)</f>
        <v>0</v>
      </c>
    </row>
    <row r="25" spans="1:25" ht="15.75" customHeight="1" x14ac:dyDescent="0.15">
      <c r="A25" s="1" t="s">
        <v>120</v>
      </c>
      <c r="B25" s="6">
        <f>IF(B13=$C$7,-'Step 7 Sources and Uses'!$C$11,0)</f>
        <v>0</v>
      </c>
      <c r="C25" s="6">
        <f>IF(C13=$C$7,-'Step 7 Sources and Uses'!$C$11,0)</f>
        <v>0</v>
      </c>
      <c r="D25" s="6">
        <f>IF(D13=$C$7,-'Step 7 Sources and Uses'!$C$11,0)</f>
        <v>0</v>
      </c>
      <c r="E25" s="6">
        <f>IF(E13=$C$7,-'Step 7 Sources and Uses'!$C$11,0)</f>
        <v>0</v>
      </c>
      <c r="F25" s="6">
        <f>IF(F13=$C$7,-'Step 7 Sources and Uses'!$C$11,0)</f>
        <v>0</v>
      </c>
      <c r="G25" s="6">
        <f>IF(G13=$C$7,-'Step 7 Sources and Uses'!$C$11,0)</f>
        <v>0</v>
      </c>
      <c r="H25" s="6">
        <f>IF(H13=$C$7,-'Step 7 Sources and Uses'!$C$11,0)</f>
        <v>0</v>
      </c>
      <c r="I25" s="6">
        <f>IF(I13=$C$7,-'Step 7 Sources and Uses'!$C$11,0)</f>
        <v>0</v>
      </c>
      <c r="J25" s="6">
        <f>IF(J13=$C$7,-'Step 7 Sources and Uses'!$C$11,0)</f>
        <v>0</v>
      </c>
      <c r="K25" s="6">
        <f>IF(K13=$C$7,-'Step 7 Sources and Uses'!$C$11,0)</f>
        <v>0</v>
      </c>
      <c r="L25" s="6">
        <f>IF(L13=$C$7,-'Step 7 Sources and Uses'!$C$11,0)</f>
        <v>0</v>
      </c>
      <c r="M25" s="6">
        <f>IF(M13=$C$7,-'Step 7 Sources and Uses'!$C$11,0)</f>
        <v>0</v>
      </c>
      <c r="N25" s="6">
        <f>IF(N13=$C$7,-'Step 7 Sources and Uses'!$C$11,0)</f>
        <v>0</v>
      </c>
      <c r="O25" s="6">
        <f>IF(O13=$C$7,-'Step 7 Sources and Uses'!$C$11,0)</f>
        <v>0</v>
      </c>
      <c r="P25" s="6">
        <f>IF(P13=$C$7,-'Step 7 Sources and Uses'!$C$11,0)</f>
        <v>0</v>
      </c>
      <c r="Q25" s="6">
        <f>IF(Q13=$C$7,-'Step 7 Sources and Uses'!$C$11,0)</f>
        <v>0</v>
      </c>
      <c r="R25" s="6">
        <f>IF(R13=$C$7,-'Step 7 Sources and Uses'!$C$11,0)</f>
        <v>0</v>
      </c>
      <c r="S25" s="6">
        <f>IF(S13=$C$7,-'Step 7 Sources and Uses'!$C$11,0)</f>
        <v>-31326.719999999998</v>
      </c>
      <c r="T25" s="6">
        <f>IF(T13=$C$7,-'Step 7 Sources and Uses'!$C$11,0)</f>
        <v>0</v>
      </c>
      <c r="U25" s="6">
        <f>IF(U13=$C$7,-'Step 7 Sources and Uses'!$C$11,0)</f>
        <v>0</v>
      </c>
      <c r="V25" s="6">
        <f>IF(V13=$C$7,-'Step 7 Sources and Uses'!$C$11,0)</f>
        <v>0</v>
      </c>
      <c r="W25" s="6">
        <f>IF(W13=$C$7,-'Step 7 Sources and Uses'!$C$11,0)</f>
        <v>0</v>
      </c>
      <c r="X25" s="6">
        <f>IF(X13=$C$7,-'Step 7 Sources and Uses'!$C$11,0)</f>
        <v>0</v>
      </c>
      <c r="Y25" s="6">
        <f>IF(Y13=$C$7,-'Step 7 Sources and Uses'!$C$11,0)</f>
        <v>0</v>
      </c>
    </row>
    <row r="26" spans="1:25" ht="15.75" customHeight="1" x14ac:dyDescent="0.15">
      <c r="A26" s="1" t="s">
        <v>121</v>
      </c>
      <c r="B26" s="6">
        <f>IF(B13=$C$9,-'Step 7 Sources and Uses'!$C$26,0)</f>
        <v>0</v>
      </c>
      <c r="C26" s="6">
        <f>IF(C13=$C$9,-'Step 7 Sources and Uses'!$C$26,0)</f>
        <v>0</v>
      </c>
      <c r="D26" s="6">
        <f>IF(D13=$C$9,-'Step 7 Sources and Uses'!$C$26,0)</f>
        <v>0</v>
      </c>
      <c r="E26" s="6">
        <f>IF(E13=$C$9,-'Step 7 Sources and Uses'!$C$26,0)</f>
        <v>0</v>
      </c>
      <c r="F26" s="6">
        <f>IF(F13=$C$9,-'Step 7 Sources and Uses'!$C$26,0)</f>
        <v>0</v>
      </c>
      <c r="G26" s="6">
        <f>IF(G13=$C$9,-'Step 7 Sources and Uses'!$C$26,0)</f>
        <v>0</v>
      </c>
      <c r="H26" s="6">
        <f>IF(H13=$C$9,-'Step 7 Sources and Uses'!$C$26,0)</f>
        <v>0</v>
      </c>
      <c r="I26" s="6">
        <f>IF(I13=$C$9,-'Step 7 Sources and Uses'!$C$26,0)</f>
        <v>0</v>
      </c>
      <c r="J26" s="6">
        <f>IF(J13=$C$9,-'Step 7 Sources and Uses'!$C$26,0)</f>
        <v>0</v>
      </c>
      <c r="K26" s="6">
        <f>IF(K13=$C$9,-'Step 7 Sources and Uses'!$C$26,0)</f>
        <v>0</v>
      </c>
      <c r="L26" s="6">
        <f>IF(L13=$C$9,-'Step 7 Sources and Uses'!$C$26,0)</f>
        <v>0</v>
      </c>
      <c r="M26" s="6">
        <f>IF(M13=$C$9,-'Step 7 Sources and Uses'!$C$26,0)</f>
        <v>0</v>
      </c>
      <c r="N26" s="6">
        <f>IF(N13=$C$9,-'Step 7 Sources and Uses'!$C$26,0)</f>
        <v>0</v>
      </c>
      <c r="O26" s="6">
        <f>IF(O13=$C$9,-'Step 7 Sources and Uses'!$C$26,0)</f>
        <v>0</v>
      </c>
      <c r="P26" s="6">
        <f>IF(P13=$C$9,-'Step 7 Sources and Uses'!$C$26,0)</f>
        <v>0</v>
      </c>
      <c r="Q26" s="6">
        <f>IF(Q13=$C$9,-'Step 7 Sources and Uses'!$C$26,0)</f>
        <v>0</v>
      </c>
      <c r="R26" s="6">
        <f>IF(R13=$C$9,-'Step 7 Sources and Uses'!$C$26,0)</f>
        <v>0</v>
      </c>
      <c r="S26" s="6">
        <f>IF(S13=$C$9,-'Step 7 Sources and Uses'!$C$26,0)</f>
        <v>0</v>
      </c>
      <c r="T26" s="6">
        <f>IF(T13=$C$9,-'Step 7 Sources and Uses'!$C$26,0)</f>
        <v>0</v>
      </c>
      <c r="U26" s="6">
        <f>IF(U13=$C$9,-'Step 7 Sources and Uses'!$C$26,0)</f>
        <v>0</v>
      </c>
      <c r="V26" s="6">
        <f>IF(V13=$C$9,-'Step 7 Sources and Uses'!$C$26,0)</f>
        <v>-31326.719999999998</v>
      </c>
      <c r="W26" s="6">
        <f>IF(W13=$C$9,-'Step 7 Sources and Uses'!$C$26,0)</f>
        <v>0</v>
      </c>
      <c r="X26" s="6">
        <f>IF(X13=$C$9,-'Step 7 Sources and Uses'!$C$26,0)</f>
        <v>0</v>
      </c>
      <c r="Y26" s="6">
        <f>IF(Y13=$C$9,-'Step 7 Sources and Uses'!$C$26,0)</f>
        <v>0</v>
      </c>
    </row>
    <row r="27" spans="1:25" ht="15.75" customHeight="1" x14ac:dyDescent="0.15">
      <c r="A27" s="44" t="s">
        <v>77</v>
      </c>
      <c r="B27" s="45">
        <f t="shared" ref="B27:Y27" si="4">SUM(B21:B26)</f>
        <v>-49133.333333333336</v>
      </c>
      <c r="C27" s="45">
        <f t="shared" si="4"/>
        <v>-202133.33333333334</v>
      </c>
      <c r="D27" s="45">
        <f t="shared" si="4"/>
        <v>-49133.333333333336</v>
      </c>
      <c r="E27" s="45">
        <f t="shared" si="4"/>
        <v>-49133.333333333336</v>
      </c>
      <c r="F27" s="45">
        <f t="shared" si="4"/>
        <v>-49133.333333333336</v>
      </c>
      <c r="G27" s="45">
        <f t="shared" si="4"/>
        <v>-49133.333333333336</v>
      </c>
      <c r="H27" s="45">
        <f t="shared" si="4"/>
        <v>-49133.333333333336</v>
      </c>
      <c r="I27" s="45">
        <f t="shared" si="4"/>
        <v>-49133.333333333336</v>
      </c>
      <c r="J27" s="45">
        <f t="shared" si="4"/>
        <v>-523493.33333333331</v>
      </c>
      <c r="K27" s="45">
        <f t="shared" si="4"/>
        <v>-523493.33333333331</v>
      </c>
      <c r="L27" s="45">
        <f t="shared" si="4"/>
        <v>-523493.33333333331</v>
      </c>
      <c r="M27" s="45">
        <f t="shared" si="4"/>
        <v>-523493.33333333331</v>
      </c>
      <c r="N27" s="45">
        <f t="shared" si="4"/>
        <v>-523493.33333333331</v>
      </c>
      <c r="O27" s="45">
        <f t="shared" si="4"/>
        <v>-523493.33333333331</v>
      </c>
      <c r="P27" s="45">
        <f t="shared" si="4"/>
        <v>-523493.33333333331</v>
      </c>
      <c r="Q27" s="45">
        <f t="shared" si="4"/>
        <v>-523493.33333333331</v>
      </c>
      <c r="R27" s="45">
        <f t="shared" si="4"/>
        <v>-523493.33333333331</v>
      </c>
      <c r="S27" s="45">
        <f t="shared" si="4"/>
        <v>-554820.05333333334</v>
      </c>
      <c r="T27" s="45">
        <f t="shared" si="4"/>
        <v>0</v>
      </c>
      <c r="U27" s="45">
        <f t="shared" si="4"/>
        <v>0</v>
      </c>
      <c r="V27" s="45">
        <f t="shared" si="4"/>
        <v>-31326.719999999998</v>
      </c>
      <c r="W27" s="45">
        <f t="shared" si="4"/>
        <v>0</v>
      </c>
      <c r="X27" s="45">
        <f t="shared" si="4"/>
        <v>0</v>
      </c>
      <c r="Y27" s="45">
        <f t="shared" si="4"/>
        <v>0</v>
      </c>
    </row>
    <row r="28" spans="1:25" ht="15.75" customHeight="1" x14ac:dyDescent="0.15">
      <c r="A28" s="1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customHeight="1" x14ac:dyDescent="0.15">
      <c r="A29" s="1" t="s">
        <v>122</v>
      </c>
      <c r="B29" s="46">
        <f t="shared" ref="B29:Y29" si="5">IF(B13=$C$6,SUM($A$27:B27),0)</f>
        <v>0</v>
      </c>
      <c r="C29" s="46">
        <f t="shared" si="5"/>
        <v>0</v>
      </c>
      <c r="D29" s="46">
        <f t="shared" si="5"/>
        <v>0</v>
      </c>
      <c r="E29" s="46">
        <f t="shared" si="5"/>
        <v>0</v>
      </c>
      <c r="F29" s="46">
        <f t="shared" si="5"/>
        <v>0</v>
      </c>
      <c r="G29" s="46">
        <f t="shared" si="5"/>
        <v>0</v>
      </c>
      <c r="H29" s="46">
        <f t="shared" si="5"/>
        <v>0</v>
      </c>
      <c r="I29" s="46">
        <f t="shared" si="5"/>
        <v>-546066.66666666663</v>
      </c>
      <c r="J29" s="46">
        <f t="shared" si="5"/>
        <v>0</v>
      </c>
      <c r="K29" s="46">
        <f t="shared" si="5"/>
        <v>0</v>
      </c>
      <c r="L29" s="46">
        <f t="shared" si="5"/>
        <v>0</v>
      </c>
      <c r="M29" s="46">
        <f t="shared" si="5"/>
        <v>0</v>
      </c>
      <c r="N29" s="46">
        <f t="shared" si="5"/>
        <v>0</v>
      </c>
      <c r="O29" s="46">
        <f t="shared" si="5"/>
        <v>0</v>
      </c>
      <c r="P29" s="46">
        <f t="shared" si="5"/>
        <v>0</v>
      </c>
      <c r="Q29" s="46">
        <f t="shared" si="5"/>
        <v>0</v>
      </c>
      <c r="R29" s="46">
        <f t="shared" si="5"/>
        <v>0</v>
      </c>
      <c r="S29" s="46">
        <f t="shared" si="5"/>
        <v>0</v>
      </c>
      <c r="T29" s="46">
        <f t="shared" si="5"/>
        <v>0</v>
      </c>
      <c r="U29" s="46">
        <f t="shared" si="5"/>
        <v>0</v>
      </c>
      <c r="V29" s="46">
        <f t="shared" si="5"/>
        <v>0</v>
      </c>
      <c r="W29" s="46">
        <f t="shared" si="5"/>
        <v>0</v>
      </c>
      <c r="X29" s="46">
        <f t="shared" si="5"/>
        <v>0</v>
      </c>
      <c r="Y29" s="46">
        <f t="shared" si="5"/>
        <v>0</v>
      </c>
    </row>
    <row r="30" spans="1:25" ht="15.75" customHeight="1" x14ac:dyDescent="0.15">
      <c r="A30" s="1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customHeight="1" x14ac:dyDescent="0.15">
      <c r="A31" s="1" t="s">
        <v>123</v>
      </c>
      <c r="B31" s="6" cm="1">
        <f t="array" aca="1" ref="B31" ca="1">IFERROR(_xlfn.IFS(AND(B13&gt;$C$6,B13&lt;$C$9),MIN('Step 5 Debt Financing'!$E$14-SUM($A$31:A31),-((B27+A29)*'Step 5 Debt Financing'!$E$11+B33*'Step 5 Debt Financing'!$E$11)),B13=$C$9,-A34),0)</f>
        <v>0</v>
      </c>
      <c r="C31" s="6" cm="1">
        <f t="array" aca="1" ref="C31" ca="1">IFERROR(_xlfn.IFS(AND(C13&gt;$C$6,C13&lt;$C$9),MIN('Step 5 Debt Financing'!$E$14-SUM($A$31:B31),-((C27+B29)*'Step 5 Debt Financing'!$E$11+C33*'Step 5 Debt Financing'!$E$11)),C13=$C$9,-B34),0)</f>
        <v>0</v>
      </c>
      <c r="D31" s="6" cm="1">
        <f t="array" aca="1" ref="D31" ca="1">IFERROR(_xlfn.IFS(AND(D13&gt;$C$6,D13&lt;$C$9),MIN('Step 5 Debt Financing'!$E$14-SUM($A$31:C31),-((D27+C29)*'Step 5 Debt Financing'!$E$11+D33*'Step 5 Debt Financing'!$E$11)),D13=$C$9,-C34),0)</f>
        <v>0</v>
      </c>
      <c r="E31" s="6" cm="1">
        <f t="array" aca="1" ref="E31" ca="1">IFERROR(_xlfn.IFS(AND(E13&gt;$C$6,E13&lt;$C$9),MIN('Step 5 Debt Financing'!$E$14-SUM($A$31:D31),-((E27+D29)*'Step 5 Debt Financing'!$E$11+E33*'Step 5 Debt Financing'!$E$11)),E13=$C$9,-D34),0)</f>
        <v>0</v>
      </c>
      <c r="F31" s="6" cm="1">
        <f t="array" aca="1" ref="F31" ca="1">IFERROR(_xlfn.IFS(AND(F13&gt;$C$6,F13&lt;$C$9),MIN('Step 5 Debt Financing'!$E$14-SUM($A$31:E31),-((F27+E29)*'Step 5 Debt Financing'!$E$11+F33*'Step 5 Debt Financing'!$E$11)),F13=$C$9,-E34),0)</f>
        <v>0</v>
      </c>
      <c r="G31" s="6" cm="1">
        <f t="array" aca="1" ref="G31" ca="1">IFERROR(_xlfn.IFS(AND(G13&gt;$C$6,G13&lt;$C$9),MIN('Step 5 Debt Financing'!$E$14-SUM($A$31:F31),-((G27+F29)*'Step 5 Debt Financing'!$E$11+G33*'Step 5 Debt Financing'!$E$11)),G13=$C$9,-F34),0)</f>
        <v>0</v>
      </c>
      <c r="H31" s="6" cm="1">
        <f t="array" aca="1" ref="H31" ca="1">IFERROR(_xlfn.IFS(AND(H13&gt;$C$6,H13&lt;$C$9),MIN('Step 5 Debt Financing'!$E$14-SUM($A$31:G31),-((H27+G29)*'Step 5 Debt Financing'!$E$11+H33*'Step 5 Debt Financing'!$E$11)),H13=$C$9,-G34),0)</f>
        <v>0</v>
      </c>
      <c r="I31" s="6" cm="1">
        <f t="array" aca="1" ref="I31" ca="1">IFERROR(_xlfn.IFS(AND(I13&gt;$C$6,I13&lt;$C$9),MIN('Step 5 Debt Financing'!$E$14-SUM($A$31:H31),-((I27+H29)*'Step 5 Debt Financing'!$E$11+I33*'Step 5 Debt Financing'!$E$11)),I13=$C$9,-H34),0)</f>
        <v>0</v>
      </c>
      <c r="J31" s="6" cm="1">
        <f t="array" aca="1" ref="J31" ca="1">IFERROR(_xlfn.IFS(AND(J13&gt;$C$6,J13&lt;$C$9),MIN('Step 5 Debt Financing'!$E$14-SUM($A$31:I31),-((J27+I29)*'Step 5 Debt Financing'!$E$11+J33*'Step 5 Debt Financing'!$E$11)),J13=$C$9,-I34),0)</f>
        <v>748692</v>
      </c>
      <c r="K31" s="6" cm="1">
        <f t="array" aca="1" ref="K31" ca="1">IFERROR(_xlfn.IFS(AND(K13&gt;$C$6,K13&lt;$C$9),MIN('Step 5 Debt Financing'!$E$14-SUM($A$31:J31),-((K27+J29)*'Step 5 Debt Financing'!$E$11+K33*'Step 5 Debt Financing'!$E$11)),K13=$C$9,-J34),0)</f>
        <v>369284.12383333332</v>
      </c>
      <c r="L31" s="6" cm="1">
        <f t="array" aca="1" ref="L31" ca="1">IFERROR(_xlfn.IFS(AND(L13&gt;$C$6,L13&lt;$C$9),MIN('Step 5 Debt Financing'!$E$14-SUM($A$31:K31),-((L27+K29)*'Step 5 Debt Financing'!$E$11+L33*'Step 5 Debt Financing'!$E$11)),L13=$C$9,-K34),0)</f>
        <v>370684.32613620139</v>
      </c>
      <c r="M31" s="6" cm="1">
        <f t="array" aca="1" ref="M31" ca="1">IFERROR(_xlfn.IFS(AND(M13&gt;$C$6,M13&lt;$C$9),MIN('Step 5 Debt Financing'!$E$14-SUM($A$31:L31),-((M27+L29)*'Step 5 Debt Financing'!$E$11+M33*'Step 5 Debt Financing'!$E$11)),M13=$C$9,-L34),0)</f>
        <v>372089.83753946779</v>
      </c>
      <c r="N31" s="6" cm="1">
        <f t="array" aca="1" ref="N31" ca="1">IFERROR(_xlfn.IFS(AND(N13&gt;$C$6,N13&lt;$C$9),MIN('Step 5 Debt Financing'!$E$14-SUM($A$31:M31),-((N27+M29)*'Step 5 Debt Financing'!$E$11+N33*'Step 5 Debt Financing'!$E$11)),N13=$C$9,-M34),0)</f>
        <v>373500.67817347159</v>
      </c>
      <c r="O31" s="6" cm="1">
        <f t="array" aca="1" ref="O31" ca="1">IFERROR(_xlfn.IFS(AND(O13&gt;$C$6,O13&lt;$C$9),MIN('Step 5 Debt Financing'!$E$14-SUM($A$31:N31),-((O27+N29)*'Step 5 Debt Financing'!$E$11+O33*'Step 5 Debt Financing'!$E$11)),O13=$C$9,-N34),0)</f>
        <v>374916.86824487936</v>
      </c>
      <c r="P31" s="6" cm="1">
        <f t="array" aca="1" ref="P31" ca="1">IFERROR(_xlfn.IFS(AND(P13&gt;$C$6,P13&lt;$C$9),MIN('Step 5 Debt Financing'!$E$14-SUM($A$31:O31),-((P27+O29)*'Step 5 Debt Financing'!$E$11+P33*'Step 5 Debt Financing'!$E$11)),P13=$C$9,-O34),0)</f>
        <v>376338.42803697451</v>
      </c>
      <c r="Q31" s="6" cm="1">
        <f t="array" aca="1" ref="Q31" ca="1">IFERROR(_xlfn.IFS(AND(Q13&gt;$C$6,Q13&lt;$C$9),MIN('Step 5 Debt Financing'!$E$14-SUM($A$31:P31),-((Q27+P29)*'Step 5 Debt Financing'!$E$11+Q33*'Step 5 Debt Financing'!$E$11)),Q13=$C$9,-P34),0)</f>
        <v>377765.37790994806</v>
      </c>
      <c r="R31" s="6" cm="1">
        <f t="array" aca="1" ref="R31" ca="1">IFERROR(_xlfn.IFS(AND(R13&gt;$C$6,R13&lt;$C$9),MIN('Step 5 Debt Financing'!$E$14-SUM($A$31:Q31),-((R27+Q29)*'Step 5 Debt Financing'!$E$11+R33*'Step 5 Debt Financing'!$E$11)),R13=$C$9,-Q34),0)</f>
        <v>379197.73830118997</v>
      </c>
      <c r="S31" s="6" cm="1">
        <f t="array" aca="1" ref="S31" ca="1">IFERROR(_xlfn.IFS(AND(S13&gt;$C$6,S13&lt;$C$9),MIN('Step 5 Debt Financing'!$E$14-SUM($A$31:R31),-((S27+R29)*'Step 5 Debt Financing'!$E$11+S33*'Step 5 Debt Financing'!$E$11)),S13=$C$9,-R34),0)</f>
        <v>402564.23372558196</v>
      </c>
      <c r="T31" s="6" cm="1">
        <f t="array" aca="1" ref="T31" ca="1">IFERROR(_xlfn.IFS(AND(T13&gt;$C$6,T13&lt;$C$9),MIN('Step 5 Debt Financing'!$E$14-SUM($A$31:S31),-((T27+S29)*'Step 5 Debt Financing'!$E$11+T33*'Step 5 Debt Financing'!$E$11)),T13=$C$9,-S34),0)</f>
        <v>9540.64249303611</v>
      </c>
      <c r="U31" s="6" cm="1">
        <f t="array" aca="1" ref="U31" ca="1">IFERROR(_xlfn.IFS(AND(U13&gt;$C$6,U13&lt;$C$9),MIN('Step 5 Debt Financing'!$E$14-SUM($A$31:T31),-((U27+T29)*'Step 5 Debt Financing'!$E$11+U33*'Step 5 Debt Financing'!$E$11)),U13=$C$9,-T34),0)</f>
        <v>0</v>
      </c>
      <c r="V31" s="6" cm="1">
        <f t="array" aca="1" ref="V31" ca="1">IFERROR(_xlfn.IFS(AND(V13&gt;$C$6,V13&lt;$C$9),MIN('Step 5 Debt Financing'!$E$14-SUM($A$31:U31),-((V27+U29)*'Step 5 Debt Financing'!$E$11+V33*'Step 5 Debt Financing'!$E$11)),V13=$C$9,-U34),0)</f>
        <v>-4154574.2543940837</v>
      </c>
      <c r="W31" s="6" cm="1">
        <f t="array" aca="1" ref="W31" ca="1">IFERROR(_xlfn.IFS(AND(W13&gt;$C$6,W13&lt;$C$9),MIN('Step 5 Debt Financing'!$E$14-SUM($A$31:V31),-((W27+V29)*'Step 5 Debt Financing'!$E$11+W33*'Step 5 Debt Financing'!$E$11)),W13=$C$9,-V34),0)</f>
        <v>0</v>
      </c>
      <c r="X31" s="6" cm="1">
        <f t="array" aca="1" ref="X31" ca="1">IFERROR(_xlfn.IFS(AND(X13&gt;$C$6,X13&lt;$C$9),MIN('Step 5 Debt Financing'!$E$14-SUM($A$31:W31),-((X27+W29)*'Step 5 Debt Financing'!$E$11+X33*'Step 5 Debt Financing'!$E$11)),X13=$C$9,-W34),0)</f>
        <v>0</v>
      </c>
      <c r="Y31" s="6" cm="1">
        <f t="array" aca="1" ref="Y31" ca="1">IFERROR(_xlfn.IFS(AND(Y13&gt;$C$6,Y13&lt;$C$9),MIN('Step 5 Debt Financing'!$E$14-SUM($A$31:X31),-((Y27+X29)*'Step 5 Debt Financing'!$E$11+Y33*'Step 5 Debt Financing'!$E$11)),Y13=$C$9,-X34),0)</f>
        <v>0</v>
      </c>
    </row>
    <row r="32" spans="1:25" ht="15.75" customHeight="1" x14ac:dyDescent="0.15">
      <c r="A32" s="1" t="s">
        <v>124</v>
      </c>
      <c r="B32" s="6">
        <f>IF(B13=($C$6+1),-'Step 5 Debt Financing'!$E$18,0)</f>
        <v>0</v>
      </c>
      <c r="C32" s="6">
        <f>IF(C13=($C$6+1),-'Step 5 Debt Financing'!$E$18,0)</f>
        <v>0</v>
      </c>
      <c r="D32" s="6">
        <f>IF(D13=($C$6+1),-'Step 5 Debt Financing'!$E$18,0)</f>
        <v>0</v>
      </c>
      <c r="E32" s="6">
        <f>IF(E13=($C$6+1),-'Step 5 Debt Financing'!$E$18,0)</f>
        <v>0</v>
      </c>
      <c r="F32" s="6">
        <f>IF(F13=($C$6+1),-'Step 5 Debt Financing'!$E$18,0)</f>
        <v>0</v>
      </c>
      <c r="G32" s="6">
        <f>IF(G13=($C$6+1),-'Step 5 Debt Financing'!$E$18,0)</f>
        <v>0</v>
      </c>
      <c r="H32" s="6">
        <f>IF(H13=($C$6+1),-'Step 5 Debt Financing'!$E$18,0)</f>
        <v>0</v>
      </c>
      <c r="I32" s="6">
        <f>IF(I13=($C$6+1),-'Step 5 Debt Financing'!$E$18,0)</f>
        <v>0</v>
      </c>
      <c r="J32" s="6">
        <f ca="1">IF(J13=($C$6+1),-'Step 5 Debt Financing'!$E$18,0)</f>
        <v>-31159.306907955626</v>
      </c>
      <c r="K32" s="6">
        <f>IF(K13=($C$6+1),-'Step 5 Debt Financing'!$E$18,0)</f>
        <v>0</v>
      </c>
      <c r="L32" s="6">
        <f>IF(L13=($C$6+1),-'Step 5 Debt Financing'!$E$18,0)</f>
        <v>0</v>
      </c>
      <c r="M32" s="6">
        <f>IF(M13=($C$6+1),-'Step 5 Debt Financing'!$E$18,0)</f>
        <v>0</v>
      </c>
      <c r="N32" s="6">
        <f>IF(N13=($C$6+1),-'Step 5 Debt Financing'!$E$18,0)</f>
        <v>0</v>
      </c>
      <c r="O32" s="6">
        <f>IF(O13=($C$6+1),-'Step 5 Debt Financing'!$E$18,0)</f>
        <v>0</v>
      </c>
      <c r="P32" s="6">
        <f>IF(P13=($C$6+1),-'Step 5 Debt Financing'!$E$18,0)</f>
        <v>0</v>
      </c>
      <c r="Q32" s="6">
        <f>IF(Q13=($C$6+1),-'Step 5 Debt Financing'!$E$18,0)</f>
        <v>0</v>
      </c>
      <c r="R32" s="6">
        <f>IF(R13=($C$6+1),-'Step 5 Debt Financing'!$E$18,0)</f>
        <v>0</v>
      </c>
      <c r="S32" s="6">
        <f>IF(S13=($C$6+1),-'Step 5 Debt Financing'!$E$18,0)</f>
        <v>0</v>
      </c>
      <c r="T32" s="6">
        <f>IF(T13=($C$6+1),-'Step 5 Debt Financing'!$E$18,0)</f>
        <v>0</v>
      </c>
      <c r="U32" s="6">
        <f>IF(U13=($C$6+1),-'Step 5 Debt Financing'!$E$18,0)</f>
        <v>0</v>
      </c>
      <c r="V32" s="6">
        <f>IF(V13=($C$6+1),-'Step 5 Debt Financing'!$E$18,0)</f>
        <v>0</v>
      </c>
      <c r="W32" s="6">
        <f>IF(W13=($C$6+1),-'Step 5 Debt Financing'!$E$18,0)</f>
        <v>0</v>
      </c>
      <c r="X32" s="6">
        <f>IF(X13=($C$6+1),-'Step 5 Debt Financing'!$E$18,0)</f>
        <v>0</v>
      </c>
      <c r="Y32" s="6">
        <f>IF(Y13=($C$6+1),-'Step 5 Debt Financing'!$E$18,0)</f>
        <v>0</v>
      </c>
    </row>
    <row r="33" spans="1:25" ht="15.75" customHeight="1" x14ac:dyDescent="0.15">
      <c r="A33" s="1" t="s">
        <v>125</v>
      </c>
      <c r="B33" s="6">
        <f>IFERROR(IF(B13&lt;$C$9,-A34*'Step 5 Debt Financing'!$E$3/12,0),0)</f>
        <v>0</v>
      </c>
      <c r="C33" s="6">
        <f ca="1">IFERROR(IF(C13&lt;$C$9,-B34*'Step 5 Debt Financing'!$E$3/12,0),0)</f>
        <v>0</v>
      </c>
      <c r="D33" s="6">
        <f ca="1">IFERROR(IF(D13&lt;$C$9,-C34*'Step 5 Debt Financing'!$E$3/12,0),0)</f>
        <v>0</v>
      </c>
      <c r="E33" s="6">
        <f ca="1">IFERROR(IF(E13&lt;$C$9,-D34*'Step 5 Debt Financing'!$E$3/12,0),0)</f>
        <v>0</v>
      </c>
      <c r="F33" s="6">
        <f ca="1">IFERROR(IF(F13&lt;$C$9,-E34*'Step 5 Debt Financing'!$E$3/12,0),0)</f>
        <v>0</v>
      </c>
      <c r="G33" s="6">
        <f ca="1">IFERROR(IF(G13&lt;$C$9,-F34*'Step 5 Debt Financing'!$E$3/12,0),0)</f>
        <v>0</v>
      </c>
      <c r="H33" s="6">
        <f ca="1">IFERROR(IF(H13&lt;$C$9,-G34*'Step 5 Debt Financing'!$E$3/12,0),0)</f>
        <v>0</v>
      </c>
      <c r="I33" s="6">
        <f ca="1">IFERROR(IF(I13&lt;$C$9,-H34*'Step 5 Debt Financing'!$E$3/12,0),0)</f>
        <v>0</v>
      </c>
      <c r="J33" s="6">
        <f ca="1">IFERROR(IF(J13&lt;$C$9,-I34*'Step 5 Debt Financing'!$E$3/12,0),0)</f>
        <v>0</v>
      </c>
      <c r="K33" s="6">
        <f ca="1">IFERROR(IF(K13&lt;$C$9,-J34*'Step 5 Debt Financing'!$E$3/12,0),0)</f>
        <v>-4055.4150000000004</v>
      </c>
      <c r="L33" s="6">
        <f ca="1">IFERROR(IF(L13&lt;$C$9,-K34*'Step 5 Debt Financing'!$E$3/12,0),0)</f>
        <v>-6055.7040040972233</v>
      </c>
      <c r="M33" s="6">
        <f ca="1">IFERROR(IF(M13&lt;$C$9,-L34*'Step 5 Debt Financing'!$E$3/12,0),0)</f>
        <v>-8063.5774373349805</v>
      </c>
      <c r="N33" s="6">
        <f ca="1">IFERROR(IF(N13&lt;$C$9,-M34*'Step 5 Debt Financing'!$E$3/12,0),0)</f>
        <v>-10079.064057340431</v>
      </c>
      <c r="O33" s="6">
        <f ca="1">IFERROR(IF(O13&lt;$C$9,-N34*'Step 5 Debt Financing'!$E$3/12,0),0)</f>
        <v>-12102.192730780067</v>
      </c>
      <c r="P33" s="6">
        <f ca="1">IFERROR(IF(P13&lt;$C$9,-O34*'Step 5 Debt Financing'!$E$3/12,0),0)</f>
        <v>-14132.992433773165</v>
      </c>
      <c r="Q33" s="6">
        <f ca="1">IFERROR(IF(Q13&lt;$C$9,-P34*'Step 5 Debt Financing'!$E$3/12,0),0)</f>
        <v>-16171.492252306774</v>
      </c>
      <c r="R33" s="6">
        <f ca="1">IFERROR(IF(R13&lt;$C$9,-Q34*'Step 5 Debt Financing'!$E$3/12,0),0)</f>
        <v>-18217.721382652326</v>
      </c>
      <c r="S33" s="6">
        <f ca="1">IFERROR(IF(S13&lt;$C$9,-R34*'Step 5 Debt Financing'!$E$3/12,0),0)</f>
        <v>-20271.709131783773</v>
      </c>
      <c r="T33" s="6">
        <f ca="1">IFERROR(IF(T13&lt;$C$9,-S34*'Step 5 Debt Financing'!$E$3/12,0),0)</f>
        <v>-22452.265397797342</v>
      </c>
      <c r="U33" s="6">
        <f ca="1">IFERROR(IF(U13&lt;$C$9,-T34*'Step 5 Debt Financing'!$E$3/12,0),0)</f>
        <v>-22503.943877967951</v>
      </c>
      <c r="V33" s="6">
        <f>IFERROR(IF(V13&lt;$C$9,-U34*'Step 5 Debt Financing'!$E$3/12,0),0)</f>
        <v>0</v>
      </c>
      <c r="W33" s="6">
        <f>IFERROR(IF(W13&lt;$C$9,-V34*'Step 5 Debt Financing'!$E$3/12,0),0)</f>
        <v>0</v>
      </c>
      <c r="X33" s="6">
        <f>IFERROR(IF(X13&lt;$C$9,-W34*'Step 5 Debt Financing'!$E$3/12,0),0)</f>
        <v>0</v>
      </c>
      <c r="Y33" s="6">
        <f>IFERROR(IF(Y13&lt;$C$9,-X34*'Step 5 Debt Financing'!$E$3/12,0),0)</f>
        <v>0</v>
      </c>
    </row>
    <row r="34" spans="1:25" ht="15.75" customHeight="1" x14ac:dyDescent="0.15">
      <c r="A34" s="1" t="s">
        <v>126</v>
      </c>
      <c r="B34" s="46">
        <f t="shared" ref="B34:Y34" ca="1" si="6">IFERROR(A34+B31,0)</f>
        <v>0</v>
      </c>
      <c r="C34" s="46">
        <f t="shared" ca="1" si="6"/>
        <v>0</v>
      </c>
      <c r="D34" s="46">
        <f t="shared" ca="1" si="6"/>
        <v>0</v>
      </c>
      <c r="E34" s="46">
        <f t="shared" ca="1" si="6"/>
        <v>0</v>
      </c>
      <c r="F34" s="46">
        <f t="shared" ca="1" si="6"/>
        <v>0</v>
      </c>
      <c r="G34" s="46">
        <f t="shared" ca="1" si="6"/>
        <v>0</v>
      </c>
      <c r="H34" s="46">
        <f t="shared" ca="1" si="6"/>
        <v>0</v>
      </c>
      <c r="I34" s="46">
        <f t="shared" ca="1" si="6"/>
        <v>0</v>
      </c>
      <c r="J34" s="46">
        <f t="shared" ca="1" si="6"/>
        <v>748692</v>
      </c>
      <c r="K34" s="46">
        <f t="shared" ca="1" si="6"/>
        <v>1117976.1238333334</v>
      </c>
      <c r="L34" s="46">
        <f t="shared" ca="1" si="6"/>
        <v>1488660.4499695348</v>
      </c>
      <c r="M34" s="46">
        <f t="shared" ca="1" si="6"/>
        <v>1860750.2875090025</v>
      </c>
      <c r="N34" s="46">
        <f t="shared" ca="1" si="6"/>
        <v>2234250.965682474</v>
      </c>
      <c r="O34" s="46">
        <f t="shared" ca="1" si="6"/>
        <v>2609167.8339273534</v>
      </c>
      <c r="P34" s="46">
        <f t="shared" ca="1" si="6"/>
        <v>2985506.2619643277</v>
      </c>
      <c r="Q34" s="46">
        <f t="shared" ca="1" si="6"/>
        <v>3363271.6398742758</v>
      </c>
      <c r="R34" s="46">
        <f t="shared" ca="1" si="6"/>
        <v>3742469.3781754659</v>
      </c>
      <c r="S34" s="46">
        <f t="shared" ca="1" si="6"/>
        <v>4145033.6119010476</v>
      </c>
      <c r="T34" s="46">
        <f t="shared" ca="1" si="6"/>
        <v>4154574.2543940837</v>
      </c>
      <c r="U34" s="46">
        <f t="shared" ca="1" si="6"/>
        <v>4154574.2543940837</v>
      </c>
      <c r="V34" s="46">
        <f t="shared" ca="1" si="6"/>
        <v>0</v>
      </c>
      <c r="W34" s="46">
        <f t="shared" ca="1" si="6"/>
        <v>0</v>
      </c>
      <c r="X34" s="46">
        <f t="shared" ca="1" si="6"/>
        <v>0</v>
      </c>
      <c r="Y34" s="46">
        <f t="shared" ca="1" si="6"/>
        <v>0</v>
      </c>
    </row>
    <row r="35" spans="1:25" ht="15.75" customHeight="1" x14ac:dyDescent="0.15">
      <c r="A35" s="1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customHeight="1" x14ac:dyDescent="0.15">
      <c r="A36" s="1" t="s">
        <v>127</v>
      </c>
      <c r="B36" s="6">
        <f>IF(B13=$C$9,'Step 5 Debt Financing'!$B$18,0)</f>
        <v>0</v>
      </c>
      <c r="C36" s="6">
        <f>IF(C13=$C$9,'Step 5 Debt Financing'!$B$18,0)</f>
        <v>0</v>
      </c>
      <c r="D36" s="6">
        <f>IF(D13=$C$9,'Step 5 Debt Financing'!$B$18,0)</f>
        <v>0</v>
      </c>
      <c r="E36" s="6">
        <f>IF(E13=$C$9,'Step 5 Debt Financing'!$B$18,0)</f>
        <v>0</v>
      </c>
      <c r="F36" s="6">
        <f>IF(F13=$C$9,'Step 5 Debt Financing'!$B$18,0)</f>
        <v>0</v>
      </c>
      <c r="G36" s="6">
        <f>IF(G13=$C$9,'Step 5 Debt Financing'!$B$18,0)</f>
        <v>0</v>
      </c>
      <c r="H36" s="6">
        <f>IF(H13=$C$9,'Step 5 Debt Financing'!$B$18,0)</f>
        <v>0</v>
      </c>
      <c r="I36" s="6">
        <f>IF(I13=$C$9,'Step 5 Debt Financing'!$B$18,0)</f>
        <v>0</v>
      </c>
      <c r="J36" s="6">
        <f>IF(J13=$C$9,'Step 5 Debt Financing'!$B$18,0)</f>
        <v>0</v>
      </c>
      <c r="K36" s="6">
        <f>IF(K13=$C$9,'Step 5 Debt Financing'!$B$18,0)</f>
        <v>0</v>
      </c>
      <c r="L36" s="6">
        <f>IF(L13=$C$9,'Step 5 Debt Financing'!$B$18,0)</f>
        <v>0</v>
      </c>
      <c r="M36" s="6">
        <f>IF(M13=$C$9,'Step 5 Debt Financing'!$B$18,0)</f>
        <v>0</v>
      </c>
      <c r="N36" s="6">
        <f>IF(N13=$C$9,'Step 5 Debt Financing'!$B$18,0)</f>
        <v>0</v>
      </c>
      <c r="O36" s="6">
        <f>IF(O13=$C$9,'Step 5 Debt Financing'!$B$18,0)</f>
        <v>0</v>
      </c>
      <c r="P36" s="6">
        <f>IF(P13=$C$9,'Step 5 Debt Financing'!$B$18,0)</f>
        <v>0</v>
      </c>
      <c r="Q36" s="6">
        <f>IF(Q13=$C$9,'Step 5 Debt Financing'!$B$18,0)</f>
        <v>0</v>
      </c>
      <c r="R36" s="6">
        <f>IF(R13=$C$9,'Step 5 Debt Financing'!$B$18,0)</f>
        <v>0</v>
      </c>
      <c r="S36" s="6">
        <f>IF(S13=$C$9,'Step 5 Debt Financing'!$B$18,0)</f>
        <v>0</v>
      </c>
      <c r="T36" s="6">
        <f>IF(T13=$C$9,'Step 5 Debt Financing'!$B$18,0)</f>
        <v>0</v>
      </c>
      <c r="U36" s="6">
        <f>IF(U13=$C$9,'Step 5 Debt Financing'!$B$18,0)</f>
        <v>0</v>
      </c>
      <c r="V36" s="6">
        <f>IF(V13=$C$9,'Step 5 Debt Financing'!$B$18,0)</f>
        <v>4398957.7184338579</v>
      </c>
      <c r="W36" s="6">
        <f>IF(W13=$C$9,'Step 5 Debt Financing'!$B$18,0)</f>
        <v>0</v>
      </c>
      <c r="X36" s="6">
        <f>IF(X13=$C$9,'Step 5 Debt Financing'!$B$18,0)</f>
        <v>0</v>
      </c>
      <c r="Y36" s="6">
        <f>IF(Y13=$C$9,'Step 5 Debt Financing'!$B$18,0)</f>
        <v>0</v>
      </c>
    </row>
    <row r="37" spans="1:25" ht="15.75" customHeight="1" x14ac:dyDescent="0.15">
      <c r="A37" s="1" t="s">
        <v>128</v>
      </c>
      <c r="B37" s="6">
        <f>IF(B13=$C$9,-'Step 5 Debt Financing'!$E$20,0)</f>
        <v>0</v>
      </c>
      <c r="C37" s="6">
        <f>IF(C13=$C$9,-'Step 5 Debt Financing'!$E$20,0)</f>
        <v>0</v>
      </c>
      <c r="D37" s="6">
        <f>IF(D13=$C$9,-'Step 5 Debt Financing'!$E$20,0)</f>
        <v>0</v>
      </c>
      <c r="E37" s="6">
        <f>IF(E13=$C$9,-'Step 5 Debt Financing'!$E$20,0)</f>
        <v>0</v>
      </c>
      <c r="F37" s="6">
        <f>IF(F13=$C$9,-'Step 5 Debt Financing'!$E$20,0)</f>
        <v>0</v>
      </c>
      <c r="G37" s="6">
        <f>IF(G13=$C$9,-'Step 5 Debt Financing'!$E$20,0)</f>
        <v>0</v>
      </c>
      <c r="H37" s="6">
        <f>IF(H13=$C$9,-'Step 5 Debt Financing'!$E$20,0)</f>
        <v>0</v>
      </c>
      <c r="I37" s="6">
        <f>IF(I13=$C$9,-'Step 5 Debt Financing'!$E$20,0)</f>
        <v>0</v>
      </c>
      <c r="J37" s="6">
        <f>IF(J13=$C$9,-'Step 5 Debt Financing'!$E$20,0)</f>
        <v>0</v>
      </c>
      <c r="K37" s="6">
        <f>IF(K13=$C$9,-'Step 5 Debt Financing'!$E$20,0)</f>
        <v>0</v>
      </c>
      <c r="L37" s="6">
        <f>IF(L13=$C$9,-'Step 5 Debt Financing'!$E$20,0)</f>
        <v>0</v>
      </c>
      <c r="M37" s="6">
        <f>IF(M13=$C$9,-'Step 5 Debt Financing'!$E$20,0)</f>
        <v>0</v>
      </c>
      <c r="N37" s="6">
        <f>IF(N13=$C$9,-'Step 5 Debt Financing'!$E$20,0)</f>
        <v>0</v>
      </c>
      <c r="O37" s="6">
        <f>IF(O13=$C$9,-'Step 5 Debt Financing'!$E$20,0)</f>
        <v>0</v>
      </c>
      <c r="P37" s="6">
        <f>IF(P13=$C$9,-'Step 5 Debt Financing'!$E$20,0)</f>
        <v>0</v>
      </c>
      <c r="Q37" s="6">
        <f>IF(Q13=$C$9,-'Step 5 Debt Financing'!$E$20,0)</f>
        <v>0</v>
      </c>
      <c r="R37" s="6">
        <f>IF(R13=$C$9,-'Step 5 Debt Financing'!$E$20,0)</f>
        <v>0</v>
      </c>
      <c r="S37" s="6">
        <f>IF(S13=$C$9,-'Step 5 Debt Financing'!$E$20,0)</f>
        <v>0</v>
      </c>
      <c r="T37" s="6">
        <f>IF(T13=$C$9,-'Step 5 Debt Financing'!$E$20,0)</f>
        <v>0</v>
      </c>
      <c r="U37" s="6">
        <f>IF(U13=$C$9,-'Step 5 Debt Financing'!$E$20,0)</f>
        <v>0</v>
      </c>
      <c r="V37" s="6">
        <f>IF(V13=$C$9,-'Step 5 Debt Financing'!$E$20,0)</f>
        <v>-32992.182888253934</v>
      </c>
      <c r="W37" s="6">
        <f>IF(W13=$C$9,-'Step 5 Debt Financing'!$E$20,0)</f>
        <v>0</v>
      </c>
      <c r="X37" s="6">
        <f>IF(X13=$C$9,-'Step 5 Debt Financing'!$E$20,0)</f>
        <v>0</v>
      </c>
      <c r="Y37" s="6">
        <f>IF(Y13=$C$9,-'Step 5 Debt Financing'!$E$20,0)</f>
        <v>0</v>
      </c>
    </row>
    <row r="38" spans="1:25" ht="15.75" customHeight="1" x14ac:dyDescent="0.15">
      <c r="A38" s="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customHeight="1" x14ac:dyDescent="0.15">
      <c r="A39" s="7" t="s">
        <v>112</v>
      </c>
      <c r="B39" s="36">
        <f t="shared" ref="B39:Y39" ca="1" si="7">IF(B13&lt;=$C$9,SUM(B36:B37,B31:B33,B27,B17),"N/A")</f>
        <v>-49133.333333333336</v>
      </c>
      <c r="C39" s="36">
        <f t="shared" ca="1" si="7"/>
        <v>-202133.33333333334</v>
      </c>
      <c r="D39" s="36">
        <f t="shared" ca="1" si="7"/>
        <v>-49133.333333333336</v>
      </c>
      <c r="E39" s="36">
        <f t="shared" ca="1" si="7"/>
        <v>-49133.333333333336</v>
      </c>
      <c r="F39" s="36">
        <f t="shared" ca="1" si="7"/>
        <v>-49133.333333333336</v>
      </c>
      <c r="G39" s="36">
        <f t="shared" ca="1" si="7"/>
        <v>-49133.333333333336</v>
      </c>
      <c r="H39" s="36">
        <f t="shared" ca="1" si="7"/>
        <v>-49133.333333333336</v>
      </c>
      <c r="I39" s="36">
        <f t="shared" ca="1" si="7"/>
        <v>-49133.333333333336</v>
      </c>
      <c r="J39" s="36">
        <f t="shared" ca="1" si="7"/>
        <v>194039.35975871101</v>
      </c>
      <c r="K39" s="36">
        <f t="shared" ca="1" si="7"/>
        <v>-158264.62449999998</v>
      </c>
      <c r="L39" s="36">
        <f t="shared" ca="1" si="7"/>
        <v>-158864.71120122913</v>
      </c>
      <c r="M39" s="36">
        <f t="shared" ca="1" si="7"/>
        <v>-159467.07323120051</v>
      </c>
      <c r="N39" s="36">
        <f t="shared" ca="1" si="7"/>
        <v>-160071.71921720216</v>
      </c>
      <c r="O39" s="36">
        <f t="shared" ca="1" si="7"/>
        <v>-160678.65781923401</v>
      </c>
      <c r="P39" s="36">
        <f t="shared" ca="1" si="7"/>
        <v>-161287.89773013198</v>
      </c>
      <c r="Q39" s="36">
        <f t="shared" ca="1" si="7"/>
        <v>-161899.44767569203</v>
      </c>
      <c r="R39" s="36">
        <f t="shared" ca="1" si="7"/>
        <v>-162513.3164147957</v>
      </c>
      <c r="S39" s="36">
        <f t="shared" ca="1" si="7"/>
        <v>-162438.46207286845</v>
      </c>
      <c r="T39" s="36">
        <f t="shared" ca="1" si="7"/>
        <v>7266.5104285721027</v>
      </c>
      <c r="U39" s="36">
        <f t="shared" ca="1" si="7"/>
        <v>7763.2561220320531</v>
      </c>
      <c r="V39" s="36">
        <f t="shared" ca="1" si="7"/>
        <v>210331.76115152056</v>
      </c>
      <c r="W39" s="36" t="str">
        <f t="shared" si="7"/>
        <v>N/A</v>
      </c>
      <c r="X39" s="36" t="str">
        <f t="shared" si="7"/>
        <v>N/A</v>
      </c>
      <c r="Y39" s="36" t="str">
        <f t="shared" si="7"/>
        <v>N/A</v>
      </c>
    </row>
    <row r="40" spans="1:25" ht="15.75" customHeight="1" x14ac:dyDescent="0.15">
      <c r="A40" s="2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customHeight="1" x14ac:dyDescent="0.15"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</row>
    <row r="42" spans="1:25" ht="15.75" customHeight="1" x14ac:dyDescent="0.15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</row>
    <row r="43" spans="1:25" ht="15.75" customHeight="1" x14ac:dyDescent="0.15"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</row>
    <row r="44" spans="1:25" ht="15.75" customHeight="1" x14ac:dyDescent="0.15"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</row>
    <row r="45" spans="1:25" ht="15.75" customHeight="1" x14ac:dyDescent="0.15"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</row>
    <row r="46" spans="1:25" ht="15.75" customHeight="1" x14ac:dyDescent="0.15"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</row>
    <row r="47" spans="1:25" ht="15.75" customHeight="1" x14ac:dyDescent="0.15"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</row>
    <row r="48" spans="1:25" ht="15.75" customHeight="1" x14ac:dyDescent="0.15"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</row>
    <row r="49" spans="2:25" ht="15.75" customHeight="1" x14ac:dyDescent="0.15"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</row>
  </sheetData>
  <mergeCells count="2">
    <mergeCell ref="A1:C1"/>
    <mergeCell ref="A3:C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C41"/>
  <sheetViews>
    <sheetView topLeftCell="A12" zoomScale="160" zoomScaleNormal="160" workbookViewId="0">
      <selection activeCell="H33" sqref="H33"/>
    </sheetView>
  </sheetViews>
  <sheetFormatPr baseColWidth="10" defaultColWidth="12.6640625" defaultRowHeight="15.75" customHeight="1" x14ac:dyDescent="0.15"/>
  <cols>
    <col min="1" max="1" width="40.33203125" customWidth="1"/>
    <col min="2" max="2" width="5.83203125" customWidth="1"/>
  </cols>
  <sheetData>
    <row r="1" spans="1:3" ht="15.75" customHeight="1" x14ac:dyDescent="0.15">
      <c r="A1" s="79" t="s">
        <v>129</v>
      </c>
      <c r="B1" s="80"/>
      <c r="C1" s="80"/>
    </row>
    <row r="3" spans="1:3" ht="15.75" customHeight="1" x14ac:dyDescent="0.15">
      <c r="A3" s="82" t="s">
        <v>130</v>
      </c>
      <c r="B3" s="80"/>
      <c r="C3" s="80"/>
    </row>
    <row r="4" spans="1:3" ht="15.75" customHeight="1" x14ac:dyDescent="0.15">
      <c r="A4" s="2"/>
      <c r="B4" s="2"/>
      <c r="C4" s="2"/>
    </row>
    <row r="5" spans="1:3" ht="15.75" customHeight="1" x14ac:dyDescent="0.15">
      <c r="A5" s="7" t="s">
        <v>131</v>
      </c>
      <c r="B5" s="2"/>
      <c r="C5" s="2"/>
    </row>
    <row r="6" spans="1:3" ht="15.75" customHeight="1" x14ac:dyDescent="0.15">
      <c r="A6" s="1" t="s">
        <v>132</v>
      </c>
      <c r="B6" s="2"/>
      <c r="C6" s="6">
        <f>'Step 4 Budget'!C7</f>
        <v>153000</v>
      </c>
    </row>
    <row r="7" spans="1:3" ht="15.75" customHeight="1" x14ac:dyDescent="0.15">
      <c r="A7" s="1" t="s">
        <v>50</v>
      </c>
      <c r="B7" s="2"/>
      <c r="C7" s="6">
        <f>'Step 4 Budget'!C16</f>
        <v>4743600</v>
      </c>
    </row>
    <row r="8" spans="1:3" ht="15.75" customHeight="1" x14ac:dyDescent="0.15">
      <c r="A8" s="1" t="s">
        <v>133</v>
      </c>
      <c r="B8" s="2"/>
      <c r="C8" s="6">
        <f>'Step 4 Budget'!C34</f>
        <v>884400</v>
      </c>
    </row>
    <row r="9" spans="1:3" ht="15.75" customHeight="1" x14ac:dyDescent="0.15">
      <c r="A9" s="1" t="s">
        <v>124</v>
      </c>
      <c r="B9" s="2"/>
      <c r="C9" s="6">
        <f ca="1">'Step 5 Debt Financing'!E18</f>
        <v>31159.306907955626</v>
      </c>
    </row>
    <row r="10" spans="1:3" ht="15.75" customHeight="1" x14ac:dyDescent="0.15">
      <c r="A10" s="1" t="s">
        <v>125</v>
      </c>
      <c r="B10" s="2"/>
      <c r="C10" s="6">
        <f ca="1">'Step 5 Debt Financing'!E10</f>
        <v>154106.07770583403</v>
      </c>
    </row>
    <row r="11" spans="1:3" ht="15.75" customHeight="1" x14ac:dyDescent="0.15">
      <c r="A11" s="14" t="s">
        <v>134</v>
      </c>
      <c r="B11" s="48">
        <v>0.2</v>
      </c>
      <c r="C11" s="15">
        <f>B11*'Step 2 Operating Budget'!B21</f>
        <v>31326.719999999998</v>
      </c>
    </row>
    <row r="12" spans="1:3" ht="15.75" customHeight="1" x14ac:dyDescent="0.15">
      <c r="A12" s="7" t="s">
        <v>135</v>
      </c>
      <c r="B12" s="2"/>
      <c r="C12" s="6">
        <f ca="1">SUM(C6:C11)</f>
        <v>5997592.1046137894</v>
      </c>
    </row>
    <row r="13" spans="1:3" ht="15.75" customHeight="1" x14ac:dyDescent="0.15">
      <c r="A13" s="2"/>
      <c r="B13" s="2"/>
      <c r="C13" s="2"/>
    </row>
    <row r="14" spans="1:3" ht="15.75" customHeight="1" x14ac:dyDescent="0.15">
      <c r="A14" s="7" t="s">
        <v>136</v>
      </c>
      <c r="B14" s="2"/>
      <c r="C14" s="2"/>
    </row>
    <row r="15" spans="1:3" ht="15.75" customHeight="1" x14ac:dyDescent="0.15">
      <c r="A15" s="1" t="s">
        <v>137</v>
      </c>
      <c r="B15" s="2"/>
      <c r="C15" s="6">
        <f>SUMIFS('Step 6 Project Schedule and Net'!B17:Y17,'Step 6 Project Schedule and Net'!B13:Y13,"&gt;="&amp;'Step 6 Project Schedule and Net'!C7,'Step 6 Project Schedule and Net'!B13:Y13,"&lt;="&amp;'Step 6 Project Schedule and Net'!C9)</f>
        <v>90801.600000000006</v>
      </c>
    </row>
    <row r="16" spans="1:3" ht="15.75" customHeight="1" x14ac:dyDescent="0.15">
      <c r="A16" s="1" t="s">
        <v>138</v>
      </c>
      <c r="B16" s="2"/>
      <c r="C16" s="6">
        <f ca="1">MAX('Step 6 Project Schedule and Net'!B34:Y34)</f>
        <v>4154574.2543940837</v>
      </c>
    </row>
    <row r="17" spans="1:3" ht="15.75" customHeight="1" x14ac:dyDescent="0.15">
      <c r="A17" s="1" t="s">
        <v>139</v>
      </c>
      <c r="B17" s="35">
        <v>0.2</v>
      </c>
      <c r="C17" s="6">
        <f ca="1">(C12-C15-C16)*B17</f>
        <v>350443.2500439412</v>
      </c>
    </row>
    <row r="18" spans="1:3" ht="15.75" customHeight="1" x14ac:dyDescent="0.15">
      <c r="A18" s="14" t="s">
        <v>140</v>
      </c>
      <c r="B18" s="49">
        <f>100%-B17</f>
        <v>0.8</v>
      </c>
      <c r="C18" s="15">
        <f ca="1">(C12-C15-C16)*B18</f>
        <v>1401773.0001757648</v>
      </c>
    </row>
    <row r="19" spans="1:3" ht="15.75" customHeight="1" x14ac:dyDescent="0.15">
      <c r="A19" s="7" t="s">
        <v>141</v>
      </c>
      <c r="B19" s="2"/>
      <c r="C19" s="6">
        <f ca="1">SUM(C15:C18)</f>
        <v>5997592.1046137903</v>
      </c>
    </row>
    <row r="21" spans="1:3" ht="15.75" customHeight="1" x14ac:dyDescent="0.15">
      <c r="A21" s="82" t="s">
        <v>142</v>
      </c>
      <c r="B21" s="80"/>
      <c r="C21" s="80"/>
    </row>
    <row r="22" spans="1:3" ht="15.75" customHeight="1" x14ac:dyDescent="0.15">
      <c r="A22" s="41"/>
    </row>
    <row r="23" spans="1:3" ht="15.75" customHeight="1" x14ac:dyDescent="0.15">
      <c r="A23" s="7" t="s">
        <v>143</v>
      </c>
      <c r="B23" s="2"/>
      <c r="C23" s="2"/>
    </row>
    <row r="24" spans="1:3" ht="15.75" customHeight="1" x14ac:dyDescent="0.15">
      <c r="A24" s="2" t="s">
        <v>144</v>
      </c>
      <c r="B24" s="2"/>
      <c r="C24" s="6">
        <f ca="1">C16</f>
        <v>4154574.2543940837</v>
      </c>
    </row>
    <row r="25" spans="1:3" ht="15.75" customHeight="1" x14ac:dyDescent="0.15">
      <c r="A25" s="2" t="s">
        <v>128</v>
      </c>
      <c r="B25" s="2"/>
      <c r="C25" s="6">
        <f>'Step 5 Debt Financing'!E20</f>
        <v>32992.182888253934</v>
      </c>
    </row>
    <row r="26" spans="1:3" ht="15.75" customHeight="1" x14ac:dyDescent="0.15">
      <c r="A26" s="16" t="s">
        <v>145</v>
      </c>
      <c r="B26" s="33">
        <v>0.2</v>
      </c>
      <c r="C26" s="15">
        <f>B26*'Step 2 Operating Budget'!B21</f>
        <v>31326.719999999998</v>
      </c>
    </row>
    <row r="27" spans="1:3" ht="15.75" customHeight="1" x14ac:dyDescent="0.15">
      <c r="A27" s="7" t="s">
        <v>146</v>
      </c>
      <c r="B27" s="2"/>
      <c r="C27" s="6">
        <f ca="1">SUM(C24:C26)</f>
        <v>4218893.1572823375</v>
      </c>
    </row>
    <row r="28" spans="1:3" ht="15.75" customHeight="1" x14ac:dyDescent="0.15">
      <c r="A28" s="2"/>
      <c r="B28" s="2"/>
      <c r="C28" s="2"/>
    </row>
    <row r="29" spans="1:3" ht="15.75" customHeight="1" x14ac:dyDescent="0.15">
      <c r="A29" s="7" t="s">
        <v>147</v>
      </c>
      <c r="B29" s="2"/>
      <c r="C29" s="2"/>
    </row>
    <row r="30" spans="1:3" ht="15.75" customHeight="1" x14ac:dyDescent="0.15">
      <c r="A30" s="2" t="s">
        <v>148</v>
      </c>
      <c r="B30" s="2"/>
      <c r="C30" s="6">
        <f>'Step 5 Debt Financing'!B18</f>
        <v>4398957.7184338579</v>
      </c>
    </row>
    <row r="31" spans="1:3" ht="15.75" customHeight="1" x14ac:dyDescent="0.15">
      <c r="A31" s="2" t="s">
        <v>149</v>
      </c>
      <c r="B31" s="50">
        <f t="shared" ref="B31:B32" si="0">B17</f>
        <v>0.2</v>
      </c>
      <c r="C31" s="6">
        <f ca="1">(C27-C30)*B31</f>
        <v>-36012.912230304071</v>
      </c>
    </row>
    <row r="32" spans="1:3" ht="15.75" customHeight="1" x14ac:dyDescent="0.15">
      <c r="A32" s="16" t="s">
        <v>150</v>
      </c>
      <c r="B32" s="49">
        <f t="shared" si="0"/>
        <v>0.8</v>
      </c>
      <c r="C32" s="15">
        <f ca="1">(C27-C30)*B32</f>
        <v>-144051.64892121629</v>
      </c>
    </row>
    <row r="33" spans="1:3" ht="15.75" customHeight="1" x14ac:dyDescent="0.15">
      <c r="A33" s="7" t="s">
        <v>151</v>
      </c>
      <c r="B33" s="2"/>
      <c r="C33" s="6">
        <f ca="1">SUM(C30:C32)</f>
        <v>4218893.1572823375</v>
      </c>
    </row>
    <row r="35" spans="1:3" ht="15.75" customHeight="1" x14ac:dyDescent="0.15">
      <c r="A35" s="7" t="s">
        <v>152</v>
      </c>
      <c r="B35" s="85">
        <f t="shared" ref="B35:B36" ca="1" si="1">MAX(C17,C17+C31)</f>
        <v>350443.2500439412</v>
      </c>
      <c r="C35" s="105"/>
    </row>
    <row r="36" spans="1:3" ht="15.75" customHeight="1" x14ac:dyDescent="0.15">
      <c r="A36" s="51" t="s">
        <v>153</v>
      </c>
      <c r="B36" s="86">
        <f t="shared" ca="1" si="1"/>
        <v>1401773.0001757648</v>
      </c>
      <c r="C36" s="106"/>
    </row>
    <row r="37" spans="1:3" ht="15.75" customHeight="1" x14ac:dyDescent="0.15">
      <c r="A37" s="7" t="s">
        <v>154</v>
      </c>
      <c r="B37" s="85">
        <f ca="1">SUM(B35:C36)</f>
        <v>1752216.250219706</v>
      </c>
      <c r="C37" s="105"/>
    </row>
    <row r="38" spans="1:3" ht="15.75" customHeight="1" x14ac:dyDescent="0.15">
      <c r="B38" s="107"/>
      <c r="C38" s="107"/>
    </row>
    <row r="39" spans="1:3" ht="15.75" customHeight="1" x14ac:dyDescent="0.15">
      <c r="A39" s="7" t="s">
        <v>155</v>
      </c>
      <c r="B39" s="85">
        <f t="shared" ref="B39:B40" ca="1" si="2">C31+C17</f>
        <v>314430.3378136371</v>
      </c>
      <c r="C39" s="105"/>
    </row>
    <row r="40" spans="1:3" ht="15.75" customHeight="1" x14ac:dyDescent="0.15">
      <c r="A40" s="51" t="s">
        <v>156</v>
      </c>
      <c r="B40" s="86">
        <f t="shared" ca="1" si="2"/>
        <v>1257721.3512545484</v>
      </c>
      <c r="C40" s="106"/>
    </row>
    <row r="41" spans="1:3" ht="15.75" customHeight="1" x14ac:dyDescent="0.15">
      <c r="A41" s="7" t="s">
        <v>157</v>
      </c>
      <c r="B41" s="85">
        <f ca="1">SUM(B39:C40)</f>
        <v>1572151.6890681856</v>
      </c>
      <c r="C41" s="105"/>
    </row>
  </sheetData>
  <mergeCells count="9">
    <mergeCell ref="B40:C40"/>
    <mergeCell ref="B41:C41"/>
    <mergeCell ref="A1:C1"/>
    <mergeCell ref="A3:C3"/>
    <mergeCell ref="A21:C21"/>
    <mergeCell ref="B35:C35"/>
    <mergeCell ref="B36:C36"/>
    <mergeCell ref="B37:C37"/>
    <mergeCell ref="B39:C3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H29"/>
  <sheetViews>
    <sheetView tabSelected="1" topLeftCell="A4" zoomScale="140" zoomScaleNormal="140" workbookViewId="0">
      <selection activeCell="E29" sqref="E29"/>
    </sheetView>
  </sheetViews>
  <sheetFormatPr baseColWidth="10" defaultColWidth="12.6640625" defaultRowHeight="15.75" customHeight="1" x14ac:dyDescent="0.15"/>
  <cols>
    <col min="1" max="1" width="7.1640625" customWidth="1"/>
    <col min="2" max="2" width="19" customWidth="1"/>
    <col min="3" max="3" width="15.6640625" customWidth="1"/>
    <col min="4" max="4" width="16.6640625" customWidth="1"/>
    <col min="5" max="5" width="17.33203125" customWidth="1"/>
    <col min="9" max="9" width="13.6640625" customWidth="1"/>
    <col min="10" max="10" width="14.6640625" customWidth="1"/>
  </cols>
  <sheetData>
    <row r="1" spans="1:7" ht="15.75" customHeight="1" x14ac:dyDescent="0.15">
      <c r="A1" s="79" t="s">
        <v>158</v>
      </c>
      <c r="B1" s="80"/>
      <c r="C1" s="80"/>
      <c r="D1" s="80"/>
      <c r="E1" s="80"/>
      <c r="F1" s="80"/>
      <c r="G1" s="80"/>
    </row>
    <row r="3" spans="1:7" ht="15.75" customHeight="1" x14ac:dyDescent="0.15">
      <c r="A3" s="82" t="s">
        <v>159</v>
      </c>
      <c r="B3" s="80"/>
      <c r="C3" s="80"/>
      <c r="D3" s="80"/>
      <c r="E3" s="80"/>
      <c r="F3" s="80"/>
      <c r="G3" s="80"/>
    </row>
    <row r="4" spans="1:7" ht="15.75" customHeight="1" x14ac:dyDescent="0.15">
      <c r="A4" s="83" t="s">
        <v>160</v>
      </c>
      <c r="B4" s="80"/>
      <c r="C4" s="6">
        <f>'Step 2 Operating Budget'!B8</f>
        <v>519840</v>
      </c>
      <c r="D4" s="6">
        <f>-'Step 2 Operating Budget'!B21</f>
        <v>-156633.59999999998</v>
      </c>
      <c r="E4" s="6">
        <f>-'Step 5 Debt Financing'!B19</f>
        <v>-302672.00000000006</v>
      </c>
      <c r="F4" s="2"/>
      <c r="G4" s="2"/>
    </row>
    <row r="5" spans="1:7" ht="15.75" customHeight="1" x14ac:dyDescent="0.15">
      <c r="A5" s="83" t="s">
        <v>161</v>
      </c>
      <c r="B5" s="80"/>
      <c r="C5" s="35">
        <v>0.03</v>
      </c>
      <c r="D5" s="35">
        <v>0.03</v>
      </c>
      <c r="E5" s="2" t="s">
        <v>8</v>
      </c>
      <c r="F5" s="2"/>
      <c r="G5" s="2"/>
    </row>
    <row r="6" spans="1:7" ht="15.75" customHeight="1" x14ac:dyDescent="0.15">
      <c r="A6" s="1" t="s">
        <v>162</v>
      </c>
      <c r="B6" s="1" t="s">
        <v>112</v>
      </c>
      <c r="C6" s="1" t="s">
        <v>14</v>
      </c>
      <c r="D6" s="1" t="s">
        <v>18</v>
      </c>
      <c r="E6" s="1" t="s">
        <v>163</v>
      </c>
      <c r="F6" s="52" t="s">
        <v>164</v>
      </c>
      <c r="G6" s="1" t="s">
        <v>165</v>
      </c>
    </row>
    <row r="7" spans="1:7" ht="15.75" customHeight="1" x14ac:dyDescent="0.15">
      <c r="A7" s="1">
        <v>1</v>
      </c>
      <c r="B7" s="6">
        <f ca="1">SUMIF('Step 6 Project Schedule and Net'!$B$12:$Y$12,A7,'Step 6 Project Schedule and Net'!$B$39:$Y$39)</f>
        <v>-828623.7158403853</v>
      </c>
      <c r="C7" s="6">
        <f>IF(A7*12&lt;='Step 6 Project Schedule and Net'!$C$9,0,MIN(-FV($C$5,A7-1,0,$C$4),-FV($C$5,A7-1,0,$C$4)*(A7*12-'Step 6 Project Schedule and Net'!$C$9)/12))</f>
        <v>0</v>
      </c>
      <c r="D7" s="6">
        <f>IF(A7*12&lt;='Step 6 Project Schedule and Net'!$C$9,0,MAX(-FV($D$5,A7-1,0,$D$4),-FV($D$5,A7-1,0,$D$4)*(A7*12-'Step 6 Project Schedule and Net'!$C$9)/12))</f>
        <v>0</v>
      </c>
      <c r="E7" s="6">
        <f>IF(A7*12&lt;='Step 6 Project Schedule and Net'!$C$9,0,MAX($E$4,$E$4*(A7*12-'Step 6 Project Schedule and Net'!$C$9)/12))</f>
        <v>0</v>
      </c>
      <c r="F7" s="108"/>
      <c r="G7" s="6">
        <f t="shared" ref="G7:G16" ca="1" si="0">SUM(B7:F7)</f>
        <v>-828623.7158403853</v>
      </c>
    </row>
    <row r="8" spans="1:7" ht="15.75" customHeight="1" x14ac:dyDescent="0.15">
      <c r="A8" s="1">
        <v>2</v>
      </c>
      <c r="B8" s="6">
        <f ca="1">SUMIF('Step 6 Project Schedule and Net'!$B$12:$Y$12,A8,'Step 6 Project Schedule and Net'!$B$39:$Y$39)</f>
        <v>-743527.97322779975</v>
      </c>
      <c r="C8" s="6">
        <f>IF(A8*12&lt;='Step 6 Project Schedule and Net'!$C$9,0,MIN(-FV($C$5,A8-1,0,$C$4),-FV($C$5,A8-1,0,$C$4)*(A8*12-'Step 6 Project Schedule and Net'!$C$9)/12))</f>
        <v>133858.80000000002</v>
      </c>
      <c r="D8" s="6">
        <f>IF(A8*12&lt;='Step 6 Project Schedule and Net'!$C$9,0,MAX(-FV($D$5,A8-1,0,$D$4),-FV($D$5,A8-1,0,$D$4)*(A8*12-'Step 6 Project Schedule and Net'!$C$9)/12))</f>
        <v>-40333.151999999995</v>
      </c>
      <c r="E8" s="6">
        <f>IF(A8*12&lt;='Step 6 Project Schedule and Net'!$C$9,0,MAX($E$4,$E$4*(A8*12-'Step 6 Project Schedule and Net'!$C$9)/12))</f>
        <v>-75668.000000000015</v>
      </c>
      <c r="F8" s="108"/>
      <c r="G8" s="6">
        <f t="shared" ca="1" si="0"/>
        <v>-725670.32522779971</v>
      </c>
    </row>
    <row r="9" spans="1:7" ht="15.75" customHeight="1" x14ac:dyDescent="0.15">
      <c r="A9" s="1">
        <v>3</v>
      </c>
      <c r="B9" s="6">
        <f>SUMIF('Step 6 Project Schedule and Net'!$B$12:$Y$12,A9,'Step 6 Project Schedule and Net'!$B$39:$Y$39)</f>
        <v>0</v>
      </c>
      <c r="C9" s="6">
        <f>IF(A9*12&lt;='Step 6 Project Schedule and Net'!$C$9,0,MIN(-FV($C$5,A9-1,0,$C$4),-FV($C$5,A9-1,0,$C$4)*(A9*12-'Step 6 Project Schedule and Net'!$C$9)/12))</f>
        <v>551498.25599999994</v>
      </c>
      <c r="D9" s="6">
        <f>IF(A9*12&lt;='Step 6 Project Schedule and Net'!$C$9,0,MAX(-FV($D$5,A9-1,0,$D$4),-FV($D$5,A9-1,0,$D$4)*(A9*12-'Step 6 Project Schedule and Net'!$C$9)/12))</f>
        <v>-166172.58623999998</v>
      </c>
      <c r="E9" s="6">
        <f>IF(A9*12&lt;='Step 6 Project Schedule and Net'!$C$9,0,MAX($E$4,$E$4*(A9*12-'Step 6 Project Schedule and Net'!$C$9)/12))</f>
        <v>-302672.00000000006</v>
      </c>
      <c r="F9" s="108"/>
      <c r="G9" s="6">
        <f t="shared" si="0"/>
        <v>82653.669759999902</v>
      </c>
    </row>
    <row r="10" spans="1:7" ht="15.75" customHeight="1" x14ac:dyDescent="0.15">
      <c r="A10" s="1">
        <v>4</v>
      </c>
      <c r="B10" s="6">
        <f>SUMIF('Step 6 Project Schedule and Net'!$B$12:$Y$12,A10,'Step 6 Project Schedule and Net'!$B$39:$Y$39)</f>
        <v>0</v>
      </c>
      <c r="C10" s="6">
        <f>IF(A10*12&lt;='Step 6 Project Schedule and Net'!$C$9,0,MIN(-FV($C$5,A10-1,0,$C$4),-FV($C$5,A10-1,0,$C$4)*(A10*12-'Step 6 Project Schedule and Net'!$C$9)/12))</f>
        <v>568043.20368000004</v>
      </c>
      <c r="D10" s="6">
        <f>IF(A10*12&lt;='Step 6 Project Schedule and Net'!$C$9,0,MAX(-FV($D$5,A10-1,0,$D$4),-FV($D$5,A10-1,0,$D$4)*(A10*12-'Step 6 Project Schedule and Net'!$C$9)/12))</f>
        <v>-171157.76382719999</v>
      </c>
      <c r="E10" s="6">
        <f>IF(A10*12&lt;='Step 6 Project Schedule and Net'!$C$9,0,MAX($E$4,$E$4*(A10*12-'Step 6 Project Schedule and Net'!$C$9)/12))</f>
        <v>-302672.00000000006</v>
      </c>
      <c r="F10" s="108"/>
      <c r="G10" s="6">
        <f t="shared" si="0"/>
        <v>94213.439852799987</v>
      </c>
    </row>
    <row r="11" spans="1:7" ht="15.75" customHeight="1" x14ac:dyDescent="0.15">
      <c r="A11" s="1">
        <v>5</v>
      </c>
      <c r="B11" s="6">
        <f>SUMIF('Step 6 Project Schedule and Net'!$B$12:$Y$12,A11,'Step 6 Project Schedule and Net'!$B$39:$Y$39)</f>
        <v>0</v>
      </c>
      <c r="C11" s="6">
        <f>IF(A11*12&lt;='Step 6 Project Schedule and Net'!$C$9,0,MIN(-FV($C$5,A11-1,0,$C$4),-FV($C$5,A11-1,0,$C$4)*(A11*12-'Step 6 Project Schedule and Net'!$C$9)/12))</f>
        <v>585084.49979039992</v>
      </c>
      <c r="D11" s="6">
        <f>IF(A11*12&lt;='Step 6 Project Schedule and Net'!$C$9,0,MAX(-FV($D$5,A11-1,0,$D$4),-FV($D$5,A11-1,0,$D$4)*(A11*12-'Step 6 Project Schedule and Net'!$C$9)/12))</f>
        <v>-176292.49674201597</v>
      </c>
      <c r="E11" s="6">
        <f>IF(A11*12&lt;='Step 6 Project Schedule and Net'!$C$9,0,MAX($E$4,$E$4*(A11*12-'Step 6 Project Schedule and Net'!$C$9)/12))</f>
        <v>-302672.00000000006</v>
      </c>
      <c r="F11" s="108"/>
      <c r="G11" s="6">
        <f t="shared" si="0"/>
        <v>106120.00304838392</v>
      </c>
    </row>
    <row r="12" spans="1:7" ht="15.75" customHeight="1" x14ac:dyDescent="0.15">
      <c r="A12" s="1">
        <v>6</v>
      </c>
      <c r="B12" s="6">
        <f>SUMIF('Step 6 Project Schedule and Net'!$B$12:$Y$12,A12,'Step 6 Project Schedule and Net'!$B$39:$Y$39)</f>
        <v>0</v>
      </c>
      <c r="C12" s="6">
        <f>IF(A12*12&lt;='Step 6 Project Schedule and Net'!$C$9,0,MIN(-FV($C$5,A12-1,0,$C$4),-FV($C$5,A12-1,0,$C$4)*(A12*12-'Step 6 Project Schedule and Net'!$C$9)/12))</f>
        <v>602637.03478411189</v>
      </c>
      <c r="D12" s="6">
        <f>IF(A12*12&lt;='Step 6 Project Schedule and Net'!$C$9,0,MAX(-FV($D$5,A12-1,0,$D$4),-FV($D$5,A12-1,0,$D$4)*(A12*12-'Step 6 Project Schedule and Net'!$C$9)/12))</f>
        <v>-181581.27164427642</v>
      </c>
      <c r="E12" s="6">
        <f>IF(A12*12&lt;='Step 6 Project Schedule and Net'!$C$9,0,MAX($E$4,$E$4*(A12*12-'Step 6 Project Schedule and Net'!$C$9)/12))</f>
        <v>-302672.00000000006</v>
      </c>
      <c r="F12" s="108"/>
      <c r="G12" s="6">
        <f t="shared" si="0"/>
        <v>118383.76313983538</v>
      </c>
    </row>
    <row r="13" spans="1:7" ht="15.75" customHeight="1" x14ac:dyDescent="0.15">
      <c r="A13" s="1">
        <v>7</v>
      </c>
      <c r="B13" s="6">
        <f>SUMIF('Step 6 Project Schedule and Net'!$B$12:$Y$12,A13,'Step 6 Project Schedule and Net'!$B$39:$Y$39)</f>
        <v>0</v>
      </c>
      <c r="C13" s="6">
        <f>IF(A13*12&lt;='Step 6 Project Schedule and Net'!$C$9,0,MIN(-FV($C$5,A13-1,0,$C$4),-FV($C$5,A13-1,0,$C$4)*(A13*12-'Step 6 Project Schedule and Net'!$C$9)/12))</f>
        <v>620716.14582763531</v>
      </c>
      <c r="D13" s="6">
        <f>IF(A13*12&lt;='Step 6 Project Schedule and Net'!$C$9,0,MAX(-FV($D$5,A13-1,0,$D$4),-FV($D$5,A13-1,0,$D$4)*(A13*12-'Step 6 Project Schedule and Net'!$C$9)/12))</f>
        <v>-187028.70979360474</v>
      </c>
      <c r="E13" s="6">
        <f>IF(A13*12&lt;='Step 6 Project Schedule and Net'!$C$9,0,MAX($E$4,$E$4*(A13*12-'Step 6 Project Schedule and Net'!$C$9)/12))</f>
        <v>-302672.00000000006</v>
      </c>
      <c r="F13" s="108"/>
      <c r="G13" s="6">
        <f t="shared" si="0"/>
        <v>131015.43603403051</v>
      </c>
    </row>
    <row r="14" spans="1:7" ht="15.75" customHeight="1" x14ac:dyDescent="0.15">
      <c r="A14" s="1">
        <v>8</v>
      </c>
      <c r="B14" s="6">
        <f>SUMIF('Step 6 Project Schedule and Net'!$B$12:$Y$12,A14,'Step 6 Project Schedule and Net'!$B$39:$Y$39)</f>
        <v>0</v>
      </c>
      <c r="C14" s="6">
        <f>IF(A14*12&lt;='Step 6 Project Schedule and Net'!$C$9,0,MIN(-FV($C$5,A14-1,0,$C$4),-FV($C$5,A14-1,0,$C$4)*(A14*12-'Step 6 Project Schedule and Net'!$C$9)/12))</f>
        <v>639337.63020246441</v>
      </c>
      <c r="D14" s="6">
        <f>IF(A14*12&lt;='Step 6 Project Schedule and Net'!$C$9,0,MAX(-FV($D$5,A14-1,0,$D$4),-FV($D$5,A14-1,0,$D$4)*(A14*12-'Step 6 Project Schedule and Net'!$C$9)/12))</f>
        <v>-192639.57108741289</v>
      </c>
      <c r="E14" s="6">
        <f>IF(A14*12&lt;='Step 6 Project Schedule and Net'!$C$9,0,MAX($E$4,$E$4*(A14*12-'Step 6 Project Schedule and Net'!$C$9)/12))</f>
        <v>-302672.00000000006</v>
      </c>
      <c r="F14" s="108"/>
      <c r="G14" s="6">
        <f t="shared" si="0"/>
        <v>144026.05911505147</v>
      </c>
    </row>
    <row r="15" spans="1:7" ht="15.75" customHeight="1" x14ac:dyDescent="0.15">
      <c r="A15" s="1">
        <v>9</v>
      </c>
      <c r="B15" s="6">
        <f>SUMIF('Step 6 Project Schedule and Net'!$B$12:$Y$12,A15,'Step 6 Project Schedule and Net'!$B$39:$Y$39)</f>
        <v>0</v>
      </c>
      <c r="C15" s="6">
        <f>IF(A15*12&lt;='Step 6 Project Schedule and Net'!$C$9,0,MIN(-FV($C$5,A15-1,0,$C$4),-FV($C$5,A15-1,0,$C$4)*(A15*12-'Step 6 Project Schedule and Net'!$C$9)/12))</f>
        <v>658517.75910853827</v>
      </c>
      <c r="D15" s="6">
        <f>IF(A15*12&lt;='Step 6 Project Schedule and Net'!$C$9,0,MAX(-FV($D$5,A15-1,0,$D$4),-FV($D$5,A15-1,0,$D$4)*(A15*12-'Step 6 Project Schedule and Net'!$C$9)/12))</f>
        <v>-198418.75822003526</v>
      </c>
      <c r="E15" s="6">
        <f>IF(A15*12&lt;='Step 6 Project Schedule and Net'!$C$9,0,MAX($E$4,$E$4*(A15*12-'Step 6 Project Schedule and Net'!$C$9)/12))</f>
        <v>-302672.00000000006</v>
      </c>
      <c r="F15" s="108"/>
      <c r="G15" s="6">
        <f t="shared" si="0"/>
        <v>157427.00088850298</v>
      </c>
    </row>
    <row r="16" spans="1:7" ht="15.75" customHeight="1" x14ac:dyDescent="0.15">
      <c r="A16" s="1">
        <v>10</v>
      </c>
      <c r="B16" s="6">
        <f>SUMIF('Step 6 Project Schedule and Net'!$B$12:$Y$12,A16,'Step 6 Project Schedule and Net'!$B$39:$Y$39)</f>
        <v>0</v>
      </c>
      <c r="C16" s="6">
        <f>IF(A16*12&lt;='Step 6 Project Schedule and Net'!$C$9,0,MIN(-FV($C$5,A16-1,0,$C$4),-FV($C$5,A16-1,0,$C$4)*(A16*12-'Step 6 Project Schedule and Net'!$C$9)/12))</f>
        <v>678273.29188179446</v>
      </c>
      <c r="D16" s="6">
        <f>IF(A16*12&lt;='Step 6 Project Schedule and Net'!$C$9,0,MAX(-FV($D$5,A16-1,0,$D$4),-FV($D$5,A16-1,0,$D$4)*(A16*12-'Step 6 Project Schedule and Net'!$C$9)/12))</f>
        <v>-204371.32096663633</v>
      </c>
      <c r="E16" s="6">
        <f>IF(A16*12&lt;='Step 6 Project Schedule and Net'!$C$9,0,MAX($E$4,$E$4*(A16*12-'Step 6 Project Schedule and Net'!$C$9)/12))</f>
        <v>-302672.00000000006</v>
      </c>
      <c r="F16" s="108">
        <f>F22</f>
        <v>3807418.0435259258</v>
      </c>
      <c r="G16" s="6">
        <f t="shared" si="0"/>
        <v>3978648.0144410841</v>
      </c>
    </row>
    <row r="17" spans="1:8" ht="15.75" customHeight="1" x14ac:dyDescent="0.15">
      <c r="A17" s="2"/>
      <c r="B17" s="2"/>
      <c r="C17" s="2"/>
      <c r="D17" s="2"/>
      <c r="E17" s="2"/>
      <c r="F17" s="2"/>
      <c r="G17" s="2"/>
    </row>
    <row r="18" spans="1:8" ht="15.75" customHeight="1" x14ac:dyDescent="0.15">
      <c r="A18" s="2"/>
      <c r="B18" s="82" t="s">
        <v>166</v>
      </c>
      <c r="C18" s="80"/>
      <c r="D18" s="80"/>
      <c r="E18" s="80"/>
      <c r="F18" s="80"/>
      <c r="G18" s="2"/>
    </row>
    <row r="19" spans="1:8" ht="15.75" customHeight="1" x14ac:dyDescent="0.15">
      <c r="A19" s="2"/>
      <c r="B19" s="1" t="s">
        <v>167</v>
      </c>
      <c r="C19" s="2">
        <v>10</v>
      </c>
      <c r="D19" s="2"/>
      <c r="E19" s="1" t="s">
        <v>168</v>
      </c>
      <c r="F19" s="6">
        <f>C22</f>
        <v>7898366.1819193028</v>
      </c>
      <c r="G19" s="2"/>
    </row>
    <row r="20" spans="1:8" ht="15.75" customHeight="1" x14ac:dyDescent="0.15">
      <c r="A20" s="2"/>
      <c r="B20" s="1" t="s">
        <v>169</v>
      </c>
      <c r="C20" s="6">
        <f>C16+D16</f>
        <v>473901.97091515816</v>
      </c>
      <c r="D20" s="2"/>
      <c r="E20" s="1" t="s">
        <v>206</v>
      </c>
      <c r="F20" s="6">
        <f>'Step 5 Debt Financing'!B18+CUMPRINC('Step 5 Debt Financing'!B15,'Step 5 Debt Financing'!B12,'Step 5 Debt Financing'!B18,1,C19,0)</f>
        <v>3617046.1674782187</v>
      </c>
      <c r="G20" s="2"/>
    </row>
    <row r="21" spans="1:8" ht="15.75" customHeight="1" x14ac:dyDescent="0.15">
      <c r="A21" s="2"/>
      <c r="B21" s="1" t="s">
        <v>170</v>
      </c>
      <c r="C21" s="35">
        <v>0.06</v>
      </c>
      <c r="D21" s="2"/>
      <c r="E21" s="14" t="s">
        <v>48</v>
      </c>
      <c r="F21" s="15">
        <f>C22*C23</f>
        <v>473901.97091515816</v>
      </c>
      <c r="G21" s="2"/>
    </row>
    <row r="22" spans="1:8" ht="15.75" customHeight="1" x14ac:dyDescent="0.15">
      <c r="A22" s="2"/>
      <c r="B22" s="1" t="s">
        <v>171</v>
      </c>
      <c r="C22" s="6">
        <f>C20/C21</f>
        <v>7898366.1819193028</v>
      </c>
      <c r="D22" s="2"/>
      <c r="E22" s="1" t="s">
        <v>172</v>
      </c>
      <c r="F22" s="6">
        <f>F19-F20-F21</f>
        <v>3807418.0435259258</v>
      </c>
      <c r="G22" s="2"/>
    </row>
    <row r="23" spans="1:8" ht="15.75" customHeight="1" x14ac:dyDescent="0.15">
      <c r="A23" s="2"/>
      <c r="B23" s="1" t="s">
        <v>173</v>
      </c>
      <c r="C23" s="35">
        <v>0.06</v>
      </c>
      <c r="D23" s="2"/>
      <c r="E23" s="2"/>
      <c r="F23" s="2"/>
      <c r="G23" s="2"/>
    </row>
    <row r="24" spans="1:8" ht="15.75" customHeight="1" x14ac:dyDescent="0.15">
      <c r="A24" s="2"/>
      <c r="B24" s="2"/>
      <c r="C24" s="2"/>
      <c r="D24" s="2"/>
      <c r="E24" s="109" t="s">
        <v>207</v>
      </c>
      <c r="F24" s="109"/>
      <c r="G24" s="109"/>
      <c r="H24" s="109"/>
    </row>
    <row r="25" spans="1:8" ht="15.75" customHeight="1" x14ac:dyDescent="0.15">
      <c r="A25" s="2"/>
      <c r="B25" s="87" t="s">
        <v>174</v>
      </c>
      <c r="C25" s="88"/>
      <c r="D25" s="2"/>
      <c r="E25" s="109"/>
      <c r="F25" s="109"/>
      <c r="G25" s="109"/>
      <c r="H25" s="109"/>
    </row>
    <row r="26" spans="1:8" ht="15.75" customHeight="1" x14ac:dyDescent="0.15">
      <c r="A26" s="2"/>
      <c r="B26" s="53" t="s">
        <v>175</v>
      </c>
      <c r="C26" s="54">
        <f ca="1">IRR(G7:G16)</f>
        <v>0.15800724494350016</v>
      </c>
      <c r="D26" s="2"/>
      <c r="E26" s="109"/>
      <c r="F26" s="109"/>
      <c r="G26" s="109"/>
      <c r="H26" s="109"/>
    </row>
    <row r="27" spans="1:8" ht="15.75" customHeight="1" x14ac:dyDescent="0.15">
      <c r="A27" s="2"/>
      <c r="B27" s="53" t="s">
        <v>176</v>
      </c>
      <c r="C27" s="55">
        <f ca="1">SUM(G7:G16)</f>
        <v>3258193.3452115031</v>
      </c>
      <c r="D27" s="2"/>
      <c r="E27" s="109"/>
      <c r="F27" s="109"/>
      <c r="G27" s="109"/>
      <c r="H27" s="109"/>
    </row>
    <row r="28" spans="1:8" ht="15.75" customHeight="1" x14ac:dyDescent="0.15">
      <c r="A28" s="2"/>
      <c r="B28" s="53" t="s">
        <v>154</v>
      </c>
      <c r="C28" s="55">
        <f ca="1">'Step 7 Sources and Uses'!B37</f>
        <v>1752216.250219706</v>
      </c>
      <c r="D28" s="2"/>
      <c r="E28" s="2"/>
      <c r="F28" s="2"/>
      <c r="G28" s="2"/>
    </row>
    <row r="29" spans="1:8" ht="15.75" customHeight="1" x14ac:dyDescent="0.15">
      <c r="A29" s="2"/>
      <c r="B29" s="56" t="s">
        <v>177</v>
      </c>
      <c r="C29" s="57">
        <f ca="1">1+(C27/C28)</f>
        <v>2.8594698826717115</v>
      </c>
      <c r="D29" s="2"/>
      <c r="E29" s="2"/>
      <c r="F29" s="2"/>
      <c r="G29" s="2"/>
    </row>
  </sheetData>
  <mergeCells count="7">
    <mergeCell ref="B25:C25"/>
    <mergeCell ref="E24:H27"/>
    <mergeCell ref="A1:G1"/>
    <mergeCell ref="A3:G3"/>
    <mergeCell ref="A4:B4"/>
    <mergeCell ref="A5:B5"/>
    <mergeCell ref="B18:F1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O45"/>
  <sheetViews>
    <sheetView zoomScale="120" zoomScaleNormal="120" workbookViewId="0">
      <selection activeCell="E5" sqref="E5"/>
    </sheetView>
  </sheetViews>
  <sheetFormatPr baseColWidth="10" defaultColWidth="12.6640625" defaultRowHeight="15.75" customHeight="1" x14ac:dyDescent="0.15"/>
  <cols>
    <col min="1" max="1" width="32.1640625" customWidth="1"/>
    <col min="2" max="2" width="12.6640625" customWidth="1"/>
    <col min="3" max="3" width="25.1640625" customWidth="1"/>
    <col min="4" max="4" width="13.83203125" customWidth="1"/>
  </cols>
  <sheetData>
    <row r="1" spans="1:15" ht="13" x14ac:dyDescent="0.15">
      <c r="A1" s="82" t="s">
        <v>178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</row>
    <row r="3" spans="1:15" ht="13" x14ac:dyDescent="0.15">
      <c r="D3" s="30" t="s">
        <v>179</v>
      </c>
      <c r="E3" s="30" t="s">
        <v>180</v>
      </c>
      <c r="F3" s="30" t="s">
        <v>181</v>
      </c>
    </row>
    <row r="4" spans="1:15" ht="13" x14ac:dyDescent="0.15">
      <c r="A4" s="58"/>
      <c r="C4" s="59" t="s">
        <v>182</v>
      </c>
      <c r="D4" s="35">
        <v>0.08</v>
      </c>
      <c r="E4" s="39">
        <f>'Step 7 Sources and Uses'!B17</f>
        <v>0.2</v>
      </c>
      <c r="F4" s="39">
        <f t="shared" ref="F4:F5" si="0">100%-E4</f>
        <v>0.8</v>
      </c>
    </row>
    <row r="5" spans="1:15" ht="13" x14ac:dyDescent="0.15">
      <c r="C5" s="59" t="s">
        <v>183</v>
      </c>
      <c r="D5" s="2"/>
      <c r="E5" s="39">
        <f>D6+((100%-D6)*E4)</f>
        <v>0.43999999999999995</v>
      </c>
      <c r="F5" s="39">
        <f t="shared" si="0"/>
        <v>0.56000000000000005</v>
      </c>
    </row>
    <row r="6" spans="1:15" ht="13" x14ac:dyDescent="0.15">
      <c r="C6" s="59" t="s">
        <v>184</v>
      </c>
      <c r="D6" s="35">
        <v>0.3</v>
      </c>
    </row>
    <row r="8" spans="1:15" ht="13" x14ac:dyDescent="0.15">
      <c r="A8" s="60"/>
      <c r="B8" s="60" t="s">
        <v>175</v>
      </c>
      <c r="C8" s="60" t="s">
        <v>176</v>
      </c>
      <c r="D8" s="61">
        <v>1</v>
      </c>
      <c r="E8" s="61">
        <v>2</v>
      </c>
      <c r="F8" s="61">
        <v>3</v>
      </c>
      <c r="G8" s="61">
        <v>4</v>
      </c>
      <c r="H8" s="61">
        <v>5</v>
      </c>
      <c r="I8" s="61">
        <v>6</v>
      </c>
      <c r="J8" s="61">
        <v>7</v>
      </c>
      <c r="K8" s="61">
        <v>8</v>
      </c>
      <c r="L8" s="61">
        <v>9</v>
      </c>
      <c r="M8" s="61">
        <v>10</v>
      </c>
    </row>
    <row r="9" spans="1:15" ht="13" x14ac:dyDescent="0.15">
      <c r="A9" s="59" t="s">
        <v>165</v>
      </c>
      <c r="B9" s="62">
        <f ca="1">IRR(D9:M9)</f>
        <v>0.15800724494350016</v>
      </c>
      <c r="C9" s="47">
        <f ca="1">SUM(D9:M9)</f>
        <v>3258193.3452115031</v>
      </c>
      <c r="D9" s="47">
        <f ca="1">'Step 8 Projected Cash Flows and'!G7</f>
        <v>-828623.7158403853</v>
      </c>
      <c r="E9" s="47">
        <f ca="1">'Step 8 Projected Cash Flows and'!G8</f>
        <v>-725670.32522779971</v>
      </c>
      <c r="F9" s="47">
        <f>'Step 8 Projected Cash Flows and'!G9</f>
        <v>82653.669759999902</v>
      </c>
      <c r="G9" s="47">
        <f>'Step 8 Projected Cash Flows and'!G10</f>
        <v>94213.439852799987</v>
      </c>
      <c r="H9" s="47">
        <f>'Step 8 Projected Cash Flows and'!G11</f>
        <v>106120.00304838392</v>
      </c>
      <c r="I9" s="47">
        <f>'Step 8 Projected Cash Flows and'!G12</f>
        <v>118383.76313983538</v>
      </c>
      <c r="J9" s="47">
        <f>'Step 8 Projected Cash Flows and'!G13</f>
        <v>131015.43603403051</v>
      </c>
      <c r="K9" s="47">
        <f>'Step 8 Projected Cash Flows and'!G14</f>
        <v>144026.05911505147</v>
      </c>
      <c r="L9" s="47">
        <f>'Step 8 Projected Cash Flows and'!G15</f>
        <v>157427.00088850298</v>
      </c>
      <c r="M9" s="47">
        <f>'Step 8 Projected Cash Flows and'!G16</f>
        <v>3978648.0144410841</v>
      </c>
    </row>
    <row r="10" spans="1:15" ht="13" x14ac:dyDescent="0.15"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</row>
    <row r="11" spans="1:15" ht="13" x14ac:dyDescent="0.15">
      <c r="A11" s="59" t="s">
        <v>185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</row>
    <row r="12" spans="1:15" ht="13" x14ac:dyDescent="0.15">
      <c r="A12" s="63" t="s">
        <v>186</v>
      </c>
      <c r="B12" s="63"/>
      <c r="C12" s="47"/>
      <c r="D12" s="47">
        <f t="shared" ref="D12:M12" si="1">C15</f>
        <v>0</v>
      </c>
      <c r="E12" s="47">
        <f t="shared" ca="1" si="1"/>
        <v>-662898.97267230833</v>
      </c>
      <c r="F12" s="47">
        <f t="shared" ca="1" si="1"/>
        <v>-1296467.1506683328</v>
      </c>
      <c r="G12" s="47">
        <f t="shared" ca="1" si="1"/>
        <v>-1334061.5869137996</v>
      </c>
      <c r="H12" s="47">
        <f t="shared" ca="1" si="1"/>
        <v>-1365415.7619846638</v>
      </c>
      <c r="I12" s="47">
        <f t="shared" ca="1" si="1"/>
        <v>-1389753.0205047301</v>
      </c>
      <c r="J12" s="47">
        <f t="shared" ca="1" si="1"/>
        <v>-1406226.2516332401</v>
      </c>
      <c r="K12" s="47">
        <f t="shared" ca="1" si="1"/>
        <v>-1413912.002936675</v>
      </c>
      <c r="L12" s="47">
        <f t="shared" ca="1" si="1"/>
        <v>-1411804.1158795678</v>
      </c>
      <c r="M12" s="47">
        <f t="shared" ca="1" si="1"/>
        <v>-1398806.844439131</v>
      </c>
      <c r="N12" s="64"/>
      <c r="O12" s="64"/>
    </row>
    <row r="13" spans="1:15" ht="13" x14ac:dyDescent="0.15">
      <c r="A13" s="63" t="s">
        <v>187</v>
      </c>
      <c r="B13" s="63"/>
      <c r="C13" s="47"/>
      <c r="D13" s="47"/>
      <c r="E13" s="47">
        <f t="shared" ref="E13:M13" ca="1" si="2">E12*(((1+$D$4)^((E8-D8)))-1)</f>
        <v>-53031.917813784712</v>
      </c>
      <c r="F13" s="47">
        <f t="shared" ca="1" si="2"/>
        <v>-103717.37205346672</v>
      </c>
      <c r="G13" s="47">
        <f t="shared" ca="1" si="2"/>
        <v>-106724.92695310406</v>
      </c>
      <c r="H13" s="47">
        <f t="shared" ca="1" si="2"/>
        <v>-109233.2609587732</v>
      </c>
      <c r="I13" s="47">
        <f t="shared" ca="1" si="2"/>
        <v>-111180.2416403785</v>
      </c>
      <c r="J13" s="47">
        <f t="shared" ca="1" si="2"/>
        <v>-112498.10013065931</v>
      </c>
      <c r="K13" s="47">
        <f t="shared" ca="1" si="2"/>
        <v>-113112.9602349341</v>
      </c>
      <c r="L13" s="47">
        <f t="shared" ca="1" si="2"/>
        <v>-112944.32927036553</v>
      </c>
      <c r="M13" s="47">
        <f t="shared" ca="1" si="2"/>
        <v>-111904.54755513057</v>
      </c>
      <c r="N13" s="64"/>
      <c r="O13" s="64"/>
    </row>
    <row r="14" spans="1:15" ht="13" x14ac:dyDescent="0.15">
      <c r="A14" s="65" t="str">
        <f>"Cash Flow To Hit "&amp;TEXT(D4,"0.0%")&amp;" Return"</f>
        <v>Cash Flow To Hit 8.0% Return</v>
      </c>
      <c r="B14" s="65"/>
      <c r="C14" s="66"/>
      <c r="D14" s="66">
        <f t="shared" ref="D14:M14" ca="1" si="3">MIN(D9*$F$4,-(D13+D12))</f>
        <v>-662898.97267230833</v>
      </c>
      <c r="E14" s="66">
        <f t="shared" ca="1" si="3"/>
        <v>-580536.26018223981</v>
      </c>
      <c r="F14" s="66">
        <f t="shared" ca="1" si="3"/>
        <v>66122.935807999922</v>
      </c>
      <c r="G14" s="66">
        <f t="shared" ca="1" si="3"/>
        <v>75370.751882239987</v>
      </c>
      <c r="H14" s="66">
        <f t="shared" ca="1" si="3"/>
        <v>84896.002438707146</v>
      </c>
      <c r="I14" s="66">
        <f t="shared" ca="1" si="3"/>
        <v>94707.010511868313</v>
      </c>
      <c r="J14" s="66">
        <f t="shared" ca="1" si="3"/>
        <v>104812.34882722441</v>
      </c>
      <c r="K14" s="66">
        <f t="shared" ca="1" si="3"/>
        <v>115220.84729204117</v>
      </c>
      <c r="L14" s="66">
        <f t="shared" ca="1" si="3"/>
        <v>125941.60071080239</v>
      </c>
      <c r="M14" s="66">
        <f t="shared" ca="1" si="3"/>
        <v>1510711.3919942616</v>
      </c>
      <c r="N14" s="64"/>
      <c r="O14" s="64"/>
    </row>
    <row r="15" spans="1:15" ht="13" x14ac:dyDescent="0.15">
      <c r="A15" s="63" t="s">
        <v>188</v>
      </c>
      <c r="B15" s="63"/>
      <c r="C15" s="47"/>
      <c r="D15" s="47">
        <f t="shared" ref="D15:M15" ca="1" si="4">SUM(D12:D14)</f>
        <v>-662898.97267230833</v>
      </c>
      <c r="E15" s="47">
        <f t="shared" ca="1" si="4"/>
        <v>-1296467.1506683328</v>
      </c>
      <c r="F15" s="47">
        <f t="shared" ca="1" si="4"/>
        <v>-1334061.5869137996</v>
      </c>
      <c r="G15" s="47">
        <f t="shared" ca="1" si="4"/>
        <v>-1365415.7619846638</v>
      </c>
      <c r="H15" s="47">
        <f t="shared" ca="1" si="4"/>
        <v>-1389753.0205047301</v>
      </c>
      <c r="I15" s="47">
        <f t="shared" ca="1" si="4"/>
        <v>-1406226.2516332401</v>
      </c>
      <c r="J15" s="47">
        <f t="shared" ca="1" si="4"/>
        <v>-1413912.002936675</v>
      </c>
      <c r="K15" s="47">
        <f t="shared" ca="1" si="4"/>
        <v>-1411804.1158795678</v>
      </c>
      <c r="L15" s="47">
        <f t="shared" ca="1" si="4"/>
        <v>-1398806.844439131</v>
      </c>
      <c r="M15" s="47">
        <f t="shared" ca="1" si="4"/>
        <v>0</v>
      </c>
      <c r="N15" s="64"/>
      <c r="O15" s="64"/>
    </row>
    <row r="16" spans="1:15" ht="13" x14ac:dyDescent="0.15">
      <c r="B16" s="1" t="s">
        <v>189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4"/>
      <c r="O16" s="64"/>
    </row>
    <row r="17" spans="1:15" ht="13" x14ac:dyDescent="0.15">
      <c r="B17" s="39">
        <f ca="1">IRR(D14:M14)</f>
        <v>8.0000000000000737E-2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64"/>
      <c r="O17" s="64"/>
    </row>
    <row r="18" spans="1:15" ht="13" x14ac:dyDescent="0.15"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4"/>
      <c r="O18" s="64"/>
    </row>
    <row r="19" spans="1:15" ht="13" x14ac:dyDescent="0.15">
      <c r="A19" s="59" t="s">
        <v>190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64"/>
      <c r="O19" s="64"/>
    </row>
    <row r="20" spans="1:15" ht="13" x14ac:dyDescent="0.15">
      <c r="A20" s="63" t="str">
        <f>"To Investor: "&amp;TEXT(F4,"00.00%")&amp;""</f>
        <v>To Investor: 80.00%</v>
      </c>
      <c r="B20" s="63"/>
      <c r="C20" s="47"/>
      <c r="D20" s="47">
        <f t="shared" ref="D20:M20" ca="1" si="5">D14</f>
        <v>-662898.97267230833</v>
      </c>
      <c r="E20" s="47">
        <f t="shared" ca="1" si="5"/>
        <v>-580536.26018223981</v>
      </c>
      <c r="F20" s="47">
        <f t="shared" ca="1" si="5"/>
        <v>66122.935807999922</v>
      </c>
      <c r="G20" s="47">
        <f t="shared" ca="1" si="5"/>
        <v>75370.751882239987</v>
      </c>
      <c r="H20" s="47">
        <f t="shared" ca="1" si="5"/>
        <v>84896.002438707146</v>
      </c>
      <c r="I20" s="47">
        <f t="shared" ca="1" si="5"/>
        <v>94707.010511868313</v>
      </c>
      <c r="J20" s="47">
        <f t="shared" ca="1" si="5"/>
        <v>104812.34882722441</v>
      </c>
      <c r="K20" s="47">
        <f t="shared" ca="1" si="5"/>
        <v>115220.84729204117</v>
      </c>
      <c r="L20" s="47">
        <f t="shared" ca="1" si="5"/>
        <v>125941.60071080239</v>
      </c>
      <c r="M20" s="47">
        <f t="shared" ca="1" si="5"/>
        <v>1510711.3919942616</v>
      </c>
      <c r="N20" s="64"/>
      <c r="O20" s="64"/>
    </row>
    <row r="21" spans="1:15" ht="13" x14ac:dyDescent="0.15">
      <c r="A21" s="65" t="str">
        <f>"To Sponsor: "&amp;TEXT(E4,"0.00%")&amp;""</f>
        <v>To Sponsor: 20.00%</v>
      </c>
      <c r="B21" s="65"/>
      <c r="C21" s="66"/>
      <c r="D21" s="66">
        <f t="shared" ref="D21:M21" ca="1" si="6">D20/$F$4*$E$4</f>
        <v>-165724.74316807708</v>
      </c>
      <c r="E21" s="66">
        <f t="shared" ca="1" si="6"/>
        <v>-145134.06504555995</v>
      </c>
      <c r="F21" s="66">
        <f t="shared" ca="1" si="6"/>
        <v>16530.73395199998</v>
      </c>
      <c r="G21" s="66">
        <f t="shared" ca="1" si="6"/>
        <v>18842.687970559997</v>
      </c>
      <c r="H21" s="66">
        <f t="shared" ca="1" si="6"/>
        <v>21224.000609676787</v>
      </c>
      <c r="I21" s="66">
        <f t="shared" ca="1" si="6"/>
        <v>23676.752627967078</v>
      </c>
      <c r="J21" s="66">
        <f t="shared" ca="1" si="6"/>
        <v>26203.087206806103</v>
      </c>
      <c r="K21" s="66">
        <f t="shared" ca="1" si="6"/>
        <v>28805.211823010293</v>
      </c>
      <c r="L21" s="66">
        <f t="shared" ca="1" si="6"/>
        <v>31485.400177700598</v>
      </c>
      <c r="M21" s="66">
        <f t="shared" ca="1" si="6"/>
        <v>377677.84799856541</v>
      </c>
      <c r="N21" s="64"/>
      <c r="O21" s="64"/>
    </row>
    <row r="22" spans="1:15" ht="13" x14ac:dyDescent="0.15">
      <c r="A22" s="67" t="s">
        <v>44</v>
      </c>
      <c r="B22" s="63"/>
      <c r="C22" s="47"/>
      <c r="D22" s="47">
        <f t="shared" ref="D22:M22" ca="1" si="7">SUM(D20:D21)</f>
        <v>-828623.71584038541</v>
      </c>
      <c r="E22" s="47">
        <f t="shared" ca="1" si="7"/>
        <v>-725670.32522779983</v>
      </c>
      <c r="F22" s="47">
        <f t="shared" ca="1" si="7"/>
        <v>82653.669759999902</v>
      </c>
      <c r="G22" s="47">
        <f t="shared" ca="1" si="7"/>
        <v>94213.439852799987</v>
      </c>
      <c r="H22" s="47">
        <f t="shared" ca="1" si="7"/>
        <v>106120.00304838394</v>
      </c>
      <c r="I22" s="47">
        <f t="shared" ca="1" si="7"/>
        <v>118383.76313983538</v>
      </c>
      <c r="J22" s="47">
        <f t="shared" ca="1" si="7"/>
        <v>131015.43603403051</v>
      </c>
      <c r="K22" s="47">
        <f t="shared" ca="1" si="7"/>
        <v>144026.05911505147</v>
      </c>
      <c r="L22" s="47">
        <f t="shared" ca="1" si="7"/>
        <v>157427.00088850298</v>
      </c>
      <c r="M22" s="47">
        <f t="shared" ca="1" si="7"/>
        <v>1888389.2399928272</v>
      </c>
      <c r="N22" s="64"/>
      <c r="O22" s="64"/>
    </row>
    <row r="23" spans="1:15" ht="13" x14ac:dyDescent="0.15"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64"/>
      <c r="O23" s="64"/>
    </row>
    <row r="24" spans="1:15" ht="13" x14ac:dyDescent="0.15">
      <c r="A24" s="41" t="s">
        <v>191</v>
      </c>
      <c r="C24" s="47"/>
      <c r="D24" s="47">
        <f t="shared" ref="D24:M24" ca="1" si="8">D9-D22</f>
        <v>0</v>
      </c>
      <c r="E24" s="47">
        <f t="shared" ca="1" si="8"/>
        <v>0</v>
      </c>
      <c r="F24" s="47">
        <f t="shared" ca="1" si="8"/>
        <v>0</v>
      </c>
      <c r="G24" s="47">
        <f t="shared" ca="1" si="8"/>
        <v>0</v>
      </c>
      <c r="H24" s="47">
        <f t="shared" ca="1" si="8"/>
        <v>0</v>
      </c>
      <c r="I24" s="47">
        <f t="shared" ca="1" si="8"/>
        <v>0</v>
      </c>
      <c r="J24" s="47">
        <f t="shared" ca="1" si="8"/>
        <v>0</v>
      </c>
      <c r="K24" s="47">
        <f t="shared" ca="1" si="8"/>
        <v>0</v>
      </c>
      <c r="L24" s="47">
        <f t="shared" ca="1" si="8"/>
        <v>0</v>
      </c>
      <c r="M24" s="47">
        <f t="shared" ca="1" si="8"/>
        <v>2090258.7744482569</v>
      </c>
      <c r="N24" s="64"/>
      <c r="O24" s="64"/>
    </row>
    <row r="25" spans="1:15" ht="13" x14ac:dyDescent="0.15"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64"/>
      <c r="O25" s="64"/>
    </row>
    <row r="26" spans="1:15" ht="13" x14ac:dyDescent="0.15">
      <c r="A26" s="59" t="s">
        <v>192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4"/>
      <c r="O26" s="64"/>
    </row>
    <row r="27" spans="1:15" ht="13" x14ac:dyDescent="0.15">
      <c r="A27" s="63" t="str">
        <f>"To Investor: "&amp;TEXT(F5,"00.00%")&amp;""</f>
        <v>To Investor: 56.00%</v>
      </c>
      <c r="B27" s="63"/>
      <c r="C27" s="47"/>
      <c r="D27" s="47">
        <f t="shared" ref="D27:M27" ca="1" si="9">D24*$F$5</f>
        <v>0</v>
      </c>
      <c r="E27" s="47">
        <f t="shared" ca="1" si="9"/>
        <v>0</v>
      </c>
      <c r="F27" s="47">
        <f t="shared" ca="1" si="9"/>
        <v>0</v>
      </c>
      <c r="G27" s="47">
        <f t="shared" ca="1" si="9"/>
        <v>0</v>
      </c>
      <c r="H27" s="47">
        <f t="shared" ca="1" si="9"/>
        <v>0</v>
      </c>
      <c r="I27" s="47">
        <f t="shared" ca="1" si="9"/>
        <v>0</v>
      </c>
      <c r="J27" s="47">
        <f t="shared" ca="1" si="9"/>
        <v>0</v>
      </c>
      <c r="K27" s="47">
        <f t="shared" ca="1" si="9"/>
        <v>0</v>
      </c>
      <c r="L27" s="47">
        <f t="shared" ca="1" si="9"/>
        <v>0</v>
      </c>
      <c r="M27" s="47">
        <f t="shared" ca="1" si="9"/>
        <v>1170544.9136910241</v>
      </c>
      <c r="N27" s="64"/>
      <c r="O27" s="64"/>
    </row>
    <row r="28" spans="1:15" ht="13" x14ac:dyDescent="0.15">
      <c r="A28" s="63" t="str">
        <f>"To Sponsor: "&amp;TEXT(E5-D6,"0.00%")&amp;""</f>
        <v>To Sponsor: 14.00%</v>
      </c>
      <c r="B28" s="63"/>
      <c r="C28" s="47"/>
      <c r="D28" s="47">
        <f t="shared" ref="D28:M28" ca="1" si="10">D24*($E$5-$D$6)</f>
        <v>0</v>
      </c>
      <c r="E28" s="47">
        <f t="shared" ca="1" si="10"/>
        <v>0</v>
      </c>
      <c r="F28" s="47">
        <f t="shared" ca="1" si="10"/>
        <v>0</v>
      </c>
      <c r="G28" s="47">
        <f t="shared" ca="1" si="10"/>
        <v>0</v>
      </c>
      <c r="H28" s="47">
        <f t="shared" ca="1" si="10"/>
        <v>0</v>
      </c>
      <c r="I28" s="47">
        <f t="shared" ca="1" si="10"/>
        <v>0</v>
      </c>
      <c r="J28" s="47">
        <f t="shared" ca="1" si="10"/>
        <v>0</v>
      </c>
      <c r="K28" s="47">
        <f t="shared" ca="1" si="10"/>
        <v>0</v>
      </c>
      <c r="L28" s="47">
        <f t="shared" ca="1" si="10"/>
        <v>0</v>
      </c>
      <c r="M28" s="47">
        <f t="shared" ca="1" si="10"/>
        <v>292636.2284227559</v>
      </c>
      <c r="N28" s="64"/>
      <c r="O28" s="64"/>
    </row>
    <row r="29" spans="1:15" ht="13" x14ac:dyDescent="0.15">
      <c r="A29" s="65" t="str">
        <f>"To Sponsor Promote: "&amp;TEXT(D6,"0.00%")&amp;""</f>
        <v>To Sponsor Promote: 30.00%</v>
      </c>
      <c r="B29" s="65"/>
      <c r="C29" s="66"/>
      <c r="D29" s="66">
        <f t="shared" ref="D29:M29" ca="1" si="11">D24*$D$6</f>
        <v>0</v>
      </c>
      <c r="E29" s="66">
        <f t="shared" ca="1" si="11"/>
        <v>0</v>
      </c>
      <c r="F29" s="66">
        <f t="shared" ca="1" si="11"/>
        <v>0</v>
      </c>
      <c r="G29" s="66">
        <f t="shared" ca="1" si="11"/>
        <v>0</v>
      </c>
      <c r="H29" s="66">
        <f t="shared" ca="1" si="11"/>
        <v>0</v>
      </c>
      <c r="I29" s="66">
        <f t="shared" ca="1" si="11"/>
        <v>0</v>
      </c>
      <c r="J29" s="66">
        <f t="shared" ca="1" si="11"/>
        <v>0</v>
      </c>
      <c r="K29" s="66">
        <f t="shared" ca="1" si="11"/>
        <v>0</v>
      </c>
      <c r="L29" s="66">
        <f t="shared" ca="1" si="11"/>
        <v>0</v>
      </c>
      <c r="M29" s="66">
        <f t="shared" ca="1" si="11"/>
        <v>627077.63233447704</v>
      </c>
      <c r="N29" s="64"/>
      <c r="O29" s="64"/>
    </row>
    <row r="30" spans="1:15" ht="13" x14ac:dyDescent="0.15">
      <c r="A30" s="67" t="s">
        <v>44</v>
      </c>
      <c r="B30" s="63"/>
      <c r="C30" s="47"/>
      <c r="D30" s="47">
        <f t="shared" ref="D30:M30" ca="1" si="12">SUM(D27:D29)</f>
        <v>0</v>
      </c>
      <c r="E30" s="47">
        <f t="shared" ca="1" si="12"/>
        <v>0</v>
      </c>
      <c r="F30" s="47">
        <f t="shared" ca="1" si="12"/>
        <v>0</v>
      </c>
      <c r="G30" s="47">
        <f t="shared" ca="1" si="12"/>
        <v>0</v>
      </c>
      <c r="H30" s="47">
        <f t="shared" ca="1" si="12"/>
        <v>0</v>
      </c>
      <c r="I30" s="47">
        <f t="shared" ca="1" si="12"/>
        <v>0</v>
      </c>
      <c r="J30" s="47">
        <f t="shared" ca="1" si="12"/>
        <v>0</v>
      </c>
      <c r="K30" s="47">
        <f t="shared" ca="1" si="12"/>
        <v>0</v>
      </c>
      <c r="L30" s="47">
        <f t="shared" ca="1" si="12"/>
        <v>0</v>
      </c>
      <c r="M30" s="47">
        <f t="shared" ca="1" si="12"/>
        <v>2090258.7744482569</v>
      </c>
      <c r="N30" s="64"/>
      <c r="O30" s="64"/>
    </row>
    <row r="31" spans="1:15" ht="13" x14ac:dyDescent="0.15"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64"/>
      <c r="O31" s="64"/>
    </row>
    <row r="32" spans="1:15" ht="13" x14ac:dyDescent="0.15">
      <c r="A32" s="68" t="s">
        <v>193</v>
      </c>
      <c r="B32" s="69">
        <f ca="1">IRR(D32:M32)</f>
        <v>0.13887799048480298</v>
      </c>
      <c r="C32" s="70">
        <f ca="1">SUM(D32:M32)</f>
        <v>2104892.5703016208</v>
      </c>
      <c r="D32" s="70">
        <f t="shared" ref="D32:M32" ca="1" si="13">D27+D20</f>
        <v>-662898.97267230833</v>
      </c>
      <c r="E32" s="70">
        <f t="shared" ca="1" si="13"/>
        <v>-580536.26018223981</v>
      </c>
      <c r="F32" s="70">
        <f t="shared" ca="1" si="13"/>
        <v>66122.935807999922</v>
      </c>
      <c r="G32" s="70">
        <f t="shared" ca="1" si="13"/>
        <v>75370.751882239987</v>
      </c>
      <c r="H32" s="70">
        <f t="shared" ca="1" si="13"/>
        <v>84896.002438707146</v>
      </c>
      <c r="I32" s="70">
        <f t="shared" ca="1" si="13"/>
        <v>94707.010511868313</v>
      </c>
      <c r="J32" s="70">
        <f t="shared" ca="1" si="13"/>
        <v>104812.34882722441</v>
      </c>
      <c r="K32" s="70">
        <f t="shared" ca="1" si="13"/>
        <v>115220.84729204117</v>
      </c>
      <c r="L32" s="70">
        <f t="shared" ca="1" si="13"/>
        <v>125941.60071080239</v>
      </c>
      <c r="M32" s="70">
        <f t="shared" ca="1" si="13"/>
        <v>2681256.3056852855</v>
      </c>
      <c r="N32" s="64"/>
      <c r="O32" s="64"/>
    </row>
    <row r="33" spans="1:15" ht="13" x14ac:dyDescent="0.15">
      <c r="C33" s="47"/>
      <c r="D33" s="47"/>
      <c r="E33" s="47">
        <f t="shared" ref="E33:M33" ca="1" si="14">SUM($D$32:E32)</f>
        <v>-1243435.2328545481</v>
      </c>
      <c r="F33" s="47">
        <f t="shared" ca="1" si="14"/>
        <v>-1177312.2970465482</v>
      </c>
      <c r="G33" s="47">
        <f t="shared" ca="1" si="14"/>
        <v>-1101941.5451643083</v>
      </c>
      <c r="H33" s="47">
        <f t="shared" ca="1" si="14"/>
        <v>-1017045.5427256011</v>
      </c>
      <c r="I33" s="47">
        <f t="shared" ca="1" si="14"/>
        <v>-922338.53221373283</v>
      </c>
      <c r="J33" s="47">
        <f t="shared" ca="1" si="14"/>
        <v>-817526.18338650838</v>
      </c>
      <c r="K33" s="47">
        <f t="shared" ca="1" si="14"/>
        <v>-702305.3360944672</v>
      </c>
      <c r="L33" s="47">
        <f t="shared" ca="1" si="14"/>
        <v>-576363.73538366484</v>
      </c>
      <c r="M33" s="47">
        <f t="shared" ca="1" si="14"/>
        <v>2104892.5703016208</v>
      </c>
      <c r="N33" s="64"/>
      <c r="O33" s="64"/>
    </row>
    <row r="34" spans="1:15" ht="13" x14ac:dyDescent="0.15">
      <c r="A34" s="68" t="s">
        <v>194</v>
      </c>
      <c r="B34" s="69">
        <f ca="1">IRR(D34:M34)</f>
        <v>0.21622270355807993</v>
      </c>
      <c r="C34" s="70">
        <f ca="1">SUM(D34:M34)</f>
        <v>1153300.7749098819</v>
      </c>
      <c r="D34" s="70">
        <f t="shared" ref="D34:M34" ca="1" si="15">D29+D28+D21</f>
        <v>-165724.74316807708</v>
      </c>
      <c r="E34" s="70">
        <f t="shared" ca="1" si="15"/>
        <v>-145134.06504555995</v>
      </c>
      <c r="F34" s="70">
        <f t="shared" ca="1" si="15"/>
        <v>16530.73395199998</v>
      </c>
      <c r="G34" s="70">
        <f t="shared" ca="1" si="15"/>
        <v>18842.687970559997</v>
      </c>
      <c r="H34" s="70">
        <f t="shared" ca="1" si="15"/>
        <v>21224.000609676787</v>
      </c>
      <c r="I34" s="70">
        <f t="shared" ca="1" si="15"/>
        <v>23676.752627967078</v>
      </c>
      <c r="J34" s="70">
        <f t="shared" ca="1" si="15"/>
        <v>26203.087206806103</v>
      </c>
      <c r="K34" s="70">
        <f t="shared" ca="1" si="15"/>
        <v>28805.211823010293</v>
      </c>
      <c r="L34" s="70">
        <f t="shared" ca="1" si="15"/>
        <v>31485.400177700598</v>
      </c>
      <c r="M34" s="70">
        <f t="shared" ca="1" si="15"/>
        <v>1297391.7087557982</v>
      </c>
      <c r="N34" s="64"/>
      <c r="O34" s="64"/>
    </row>
    <row r="35" spans="1:15" ht="13" x14ac:dyDescent="0.15">
      <c r="C35" s="47"/>
      <c r="D35" s="47"/>
      <c r="E35" s="47">
        <f t="shared" ref="E35:M35" ca="1" si="16">SUM($D$34:E34)</f>
        <v>-310858.80821363704</v>
      </c>
      <c r="F35" s="47">
        <f t="shared" ca="1" si="16"/>
        <v>-294328.07426163706</v>
      </c>
      <c r="G35" s="47">
        <f t="shared" ca="1" si="16"/>
        <v>-275485.38629107707</v>
      </c>
      <c r="H35" s="47">
        <f t="shared" ca="1" si="16"/>
        <v>-254261.38568140028</v>
      </c>
      <c r="I35" s="47">
        <f t="shared" ca="1" si="16"/>
        <v>-230584.63305343321</v>
      </c>
      <c r="J35" s="47">
        <f t="shared" ca="1" si="16"/>
        <v>-204381.54584662709</v>
      </c>
      <c r="K35" s="47">
        <f t="shared" ca="1" si="16"/>
        <v>-175576.3340236168</v>
      </c>
      <c r="L35" s="47">
        <f t="shared" ca="1" si="16"/>
        <v>-144090.93384591621</v>
      </c>
      <c r="M35" s="47">
        <f t="shared" ca="1" si="16"/>
        <v>1153300.7749098819</v>
      </c>
      <c r="N35" s="64"/>
      <c r="O35" s="64"/>
    </row>
    <row r="37" spans="1:15" ht="13" x14ac:dyDescent="0.15">
      <c r="A37" s="71" t="s">
        <v>195</v>
      </c>
      <c r="B37" s="72"/>
      <c r="D37" s="71" t="s">
        <v>196</v>
      </c>
      <c r="E37" s="73"/>
      <c r="F37" s="72"/>
    </row>
    <row r="38" spans="1:15" ht="13" x14ac:dyDescent="0.15">
      <c r="A38" s="74" t="s">
        <v>197</v>
      </c>
      <c r="B38" s="75">
        <f ca="1">B32</f>
        <v>0.13887799048480298</v>
      </c>
      <c r="D38" s="89" t="s">
        <v>198</v>
      </c>
      <c r="E38" s="80"/>
      <c r="F38" s="75">
        <f ca="1">B34</f>
        <v>0.21622270355807993</v>
      </c>
    </row>
    <row r="39" spans="1:15" ht="13" x14ac:dyDescent="0.15">
      <c r="A39" s="74" t="s">
        <v>153</v>
      </c>
      <c r="B39" s="76">
        <f ca="1">'Step 7 Sources and Uses'!B36</f>
        <v>1401773.0001757648</v>
      </c>
      <c r="D39" s="74" t="s">
        <v>199</v>
      </c>
      <c r="E39" s="47"/>
      <c r="F39" s="76">
        <f ca="1">'Step 7 Sources and Uses'!B35</f>
        <v>350443.2500439412</v>
      </c>
    </row>
    <row r="40" spans="1:15" ht="13" x14ac:dyDescent="0.15">
      <c r="A40" s="74" t="s">
        <v>200</v>
      </c>
      <c r="B40" s="76">
        <f ca="1">C32</f>
        <v>2104892.5703016208</v>
      </c>
      <c r="D40" s="89" t="s">
        <v>201</v>
      </c>
      <c r="E40" s="80"/>
      <c r="F40" s="76">
        <f ca="1">C34</f>
        <v>1153300.7749098819</v>
      </c>
    </row>
    <row r="41" spans="1:15" ht="13" x14ac:dyDescent="0.15">
      <c r="A41" s="77" t="s">
        <v>202</v>
      </c>
      <c r="B41" s="78">
        <f ca="1">1+B40/B39</f>
        <v>2.5015930325649682</v>
      </c>
      <c r="D41" s="90" t="s">
        <v>203</v>
      </c>
      <c r="E41" s="84"/>
      <c r="F41" s="78">
        <f ca="1">1+F40/F39</f>
        <v>4.2909772830986821</v>
      </c>
    </row>
    <row r="45" spans="1:15" ht="13" hidden="1" x14ac:dyDescent="0.15"/>
  </sheetData>
  <mergeCells count="4">
    <mergeCell ref="A1:M1"/>
    <mergeCell ref="D38:E38"/>
    <mergeCell ref="D40:E40"/>
    <mergeCell ref="D41:E4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Step 1 Rent Roll</vt:lpstr>
      <vt:lpstr>Step 2 Operating Budget</vt:lpstr>
      <vt:lpstr>Step 3 Property Value</vt:lpstr>
      <vt:lpstr>Step 4 Budget</vt:lpstr>
      <vt:lpstr>Step 5 Debt Financing</vt:lpstr>
      <vt:lpstr>Step 6 Project Schedule and Net</vt:lpstr>
      <vt:lpstr>Step 7 Sources and Uses</vt:lpstr>
      <vt:lpstr>Step 8 Projected Cash Flows and</vt:lpstr>
      <vt:lpstr>Step 9 Equity Waterfall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Chipp Naylon</cp:lastModifiedBy>
  <dcterms:created xsi:type="dcterms:W3CDTF">2025-09-24T20:14:26Z</dcterms:created>
  <dcterms:modified xsi:type="dcterms:W3CDTF">2025-09-24T21:00:29Z</dcterms:modified>
</cp:coreProperties>
</file>